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2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 12 этажа берем много уменьшить на эту сумму
</t>
        </r>
      </text>
    </comment>
  </commentList>
</comments>
</file>

<file path=xl/sharedStrings.xml><?xml version="1.0" encoding="utf-8"?>
<sst xmlns="http://schemas.openxmlformats.org/spreadsheetml/2006/main" count="318" uniqueCount="214">
  <si>
    <t xml:space="preserve">ООО "Образцовое содержание жилья" </t>
  </si>
  <si>
    <t>Жилой дом по ул. Никитинская, 53</t>
  </si>
  <si>
    <t xml:space="preserve">                                    </t>
  </si>
  <si>
    <t>1. Сведения о доме:</t>
  </si>
  <si>
    <t>кол-во жилых метров</t>
  </si>
  <si>
    <t>кол-во нежилых метров</t>
  </si>
  <si>
    <t>Итого общая площадь</t>
  </si>
  <si>
    <t xml:space="preserve">      </t>
  </si>
  <si>
    <t>2. Ставки коммунальных платежей действовавших в 2009г.</t>
  </si>
  <si>
    <t>с 1.01.09 по 28.02.09 - 2 месяца.</t>
  </si>
  <si>
    <t>с 1.03.09 по 31.12.09г. - 10 месяцев.</t>
  </si>
  <si>
    <t>Таким образом, средняя ставка коммунальных платежей в 2009году составила:</t>
  </si>
  <si>
    <t>Перечень коммунальных услуг</t>
  </si>
  <si>
    <t>Ставка с 1.01.09-28.02.09 г.</t>
  </si>
  <si>
    <t>Ставка с 1.03.09-31.12.09 г.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</si>
  <si>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</si>
  <si>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</si>
  <si>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</si>
  <si>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</si>
  <si>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</si>
  <si>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</si>
  <si>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</si>
  <si>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</si>
  <si>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</si>
  <si>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</si>
  <si>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Обслуживание насосов</t>
  </si>
  <si>
    <t>Поверка теплосчетчика</t>
  </si>
  <si>
    <t>Итого</t>
  </si>
  <si>
    <t>кроме того в 2009г. с собственников взимались платежи:</t>
  </si>
  <si>
    <t>за антенну</t>
  </si>
  <si>
    <t>30 руб. за квартиру</t>
  </si>
  <si>
    <t>за домофон</t>
  </si>
  <si>
    <t>35 руб. за квартиру</t>
  </si>
  <si>
    <t>3. Доходы</t>
  </si>
  <si>
    <t>Начислено коммунальных платежей к уплате собственникам дома в 2009г.</t>
  </si>
  <si>
    <t>Оплачено собственниками дома в 2009г.</t>
  </si>
  <si>
    <t>4. Должники</t>
  </si>
  <si>
    <t>Долги собственников на начало 2009г.</t>
  </si>
  <si>
    <t>Долги собственников на конец 2009г.:</t>
  </si>
  <si>
    <t>в том числе крупные:</t>
  </si>
  <si>
    <t>Лукьянов В.А. (кв.31)</t>
  </si>
  <si>
    <t>Овчинников С.А. (кв.8)</t>
  </si>
  <si>
    <t>Нагорная Т.А. (кв.83)</t>
  </si>
  <si>
    <t>Ибатуллина Е.К. (кв.89)</t>
  </si>
  <si>
    <t>5. Мероприятия, проведенные по должникам:</t>
  </si>
  <si>
    <r>
      <rPr>
        <b/>
        <sz val="11"/>
        <color indexed="8"/>
        <rFont val="Calibri"/>
        <family val="2"/>
      </rPr>
      <t>5.1.</t>
    </r>
    <r>
      <rPr>
        <sz val="11"/>
        <color indexed="8"/>
        <rFont val="Calibri"/>
        <family val="2"/>
      </rPr>
      <t xml:space="preserve"> Нагорная Т.А. (кв.83): предъявлен иск на сумму 108 219 р. за период 01.10.04г. - 21.07.08г.,         </t>
    </r>
  </si>
  <si>
    <t xml:space="preserve">иск выигран в районном суде, оставлен в Самарской областной инстанцией  </t>
  </si>
  <si>
    <t>без изменения, через судебных приставов взыскана задолженность в полном объеме, в т.ч.</t>
  </si>
  <si>
    <t>путем изъятия имущества, на настоящий момент у Нагорной Т.А. сформировалась новая</t>
  </si>
  <si>
    <t>задолженность в размере 76 479 р.</t>
  </si>
  <si>
    <r>
      <rPr>
        <b/>
        <sz val="11"/>
        <color indexed="8"/>
        <rFont val="Calibri"/>
        <family val="2"/>
      </rPr>
      <t>5.2.</t>
    </r>
    <r>
      <rPr>
        <sz val="11"/>
        <color indexed="8"/>
        <rFont val="Calibri"/>
        <family val="2"/>
      </rPr>
      <t xml:space="preserve"> Ибатуллина Е.К. (кв. 89): предъявлен иск на сумму 49 217 р. </t>
    </r>
  </si>
  <si>
    <t>за период с 1.07.2008г. по 31.10.2009г.; иск находится на рассмотрении в районном суде.</t>
  </si>
  <si>
    <t>6. Расходы:</t>
  </si>
  <si>
    <r>
      <t xml:space="preserve"> </t>
    </r>
    <r>
      <rPr>
        <b/>
        <u val="single"/>
        <sz val="12"/>
        <color indexed="8"/>
        <rFont val="Calibri"/>
        <family val="2"/>
      </rPr>
      <t>Теплоснабжение</t>
    </r>
  </si>
  <si>
    <t>Потреблено Гкал</t>
  </si>
  <si>
    <t>ПотребленоТн</t>
  </si>
  <si>
    <t>Месяц</t>
  </si>
  <si>
    <t>Счет-фактура/товарная накладная</t>
  </si>
  <si>
    <t>Сумма</t>
  </si>
  <si>
    <t>Январь</t>
  </si>
  <si>
    <t>№С919000696/1053620 от 31.01.09</t>
  </si>
  <si>
    <t>Февраль</t>
  </si>
  <si>
    <t>№С919002888/1053620 от 28.02.09</t>
  </si>
  <si>
    <t>Март</t>
  </si>
  <si>
    <t>№С919005049/1053620 от 31.03.09</t>
  </si>
  <si>
    <t>Апрель</t>
  </si>
  <si>
    <t>№С919007117/1053620 от 30.04.09</t>
  </si>
  <si>
    <t>Май</t>
  </si>
  <si>
    <t>№С919008884/1053620 от 31.05.09</t>
  </si>
  <si>
    <t>№74 от 08.05.09 (перевод работ тепловычислителя с зимы по лето)</t>
  </si>
  <si>
    <t>Июнь</t>
  </si>
  <si>
    <t>№С919009581/1053620 от 30.06.09</t>
  </si>
  <si>
    <t>Июль</t>
  </si>
  <si>
    <t>№С919010244/1053620 от 31.07.09</t>
  </si>
  <si>
    <t>Август</t>
  </si>
  <si>
    <t>№С919010427/1053620 от 31.08.09</t>
  </si>
  <si>
    <t>Сентябрь</t>
  </si>
  <si>
    <t>№С919011036/1053620 от 30.09.09</t>
  </si>
  <si>
    <t>Октябрь</t>
  </si>
  <si>
    <t>№С919011856/1053620 от 31.10.09</t>
  </si>
  <si>
    <t>Ноябрь</t>
  </si>
  <si>
    <t>№С919010244/1053620 от 30.11.09</t>
  </si>
  <si>
    <t>Декабрь</t>
  </si>
  <si>
    <t>№С919016003/1053620 от 31.12.09</t>
  </si>
  <si>
    <t>итого</t>
  </si>
  <si>
    <t>итого с 1% (*)</t>
  </si>
  <si>
    <t>Вода+канализация</t>
  </si>
  <si>
    <t>счет-фактура</t>
  </si>
  <si>
    <t>сумма</t>
  </si>
  <si>
    <t>куб.м</t>
  </si>
  <si>
    <t>№32/3651 от 23.01.09</t>
  </si>
  <si>
    <t>№32/9901 от 20.02.09</t>
  </si>
  <si>
    <t>№32/17809 от 26.03.09</t>
  </si>
  <si>
    <t>№32/24458 от 23.04.09</t>
  </si>
  <si>
    <t>№32/32931 от 28.05.09</t>
  </si>
  <si>
    <t>№32/37949 от 25.06.09</t>
  </si>
  <si>
    <t>№32/44264 от 22.07.09</t>
  </si>
  <si>
    <t>№32/53301 от 27.08.09</t>
  </si>
  <si>
    <t>№32/58482 от 22.09.09</t>
  </si>
  <si>
    <t>№32/66194 от 24.10.09</t>
  </si>
  <si>
    <t>№32/71711 от 23.11.09</t>
  </si>
  <si>
    <t>№32/82559 от 31.12.09</t>
  </si>
  <si>
    <t>использовано на полив дет. площадки</t>
  </si>
  <si>
    <t>итого:</t>
  </si>
  <si>
    <t>Вода+канализация в офисах</t>
  </si>
  <si>
    <t>за год по счетам</t>
  </si>
  <si>
    <t xml:space="preserve">Эл./э в МОП </t>
  </si>
  <si>
    <t>кВт</t>
  </si>
  <si>
    <t>№10,11,12 от 31.01.09</t>
  </si>
  <si>
    <t>№30,31,32 от 28.02.09</t>
  </si>
  <si>
    <t>№51,52,53 от 31.03.09</t>
  </si>
  <si>
    <t>№67,66,64 от 30.04.09</t>
  </si>
  <si>
    <t>№88,87,86 от 30.05.09</t>
  </si>
  <si>
    <t>№108,109,110 от 30.06.09</t>
  </si>
  <si>
    <t>№118,126,125 от 31.07.09</t>
  </si>
  <si>
    <t>№265,146,152 от 31.08.09</t>
  </si>
  <si>
    <t>№171,172,173 от 30.09.09</t>
  </si>
  <si>
    <t>№195,194,193 от 30.10.09</t>
  </si>
  <si>
    <t>№215,214,216 от 30.11.09</t>
  </si>
  <si>
    <t>№245,246,247 от 30.12.09</t>
  </si>
  <si>
    <t xml:space="preserve">                                                                   </t>
  </si>
  <si>
    <t>Вывоз ТБО</t>
  </si>
  <si>
    <t>№2373 от 31.01.09</t>
  </si>
  <si>
    <t>№6749 от 28.02.09</t>
  </si>
  <si>
    <t>№17833 от 31.03.09</t>
  </si>
  <si>
    <t>№22785 от 30.04.09</t>
  </si>
  <si>
    <t>№27194 от 31.05.09</t>
  </si>
  <si>
    <t>№31478 от 30.06.09</t>
  </si>
  <si>
    <t>№21 от 01.06.09 (дератизация)</t>
  </si>
  <si>
    <t>№36270 от 31.07.09</t>
  </si>
  <si>
    <t>№39784 от 31.08.09</t>
  </si>
  <si>
    <t>№43354 от 30.09.09</t>
  </si>
  <si>
    <t>№48970 от  31.10.09</t>
  </si>
  <si>
    <t>№52500 от 30.11.09</t>
  </si>
  <si>
    <t>№56023 от 31.12.09</t>
  </si>
  <si>
    <t>Вывоз крупногабаритного мусора и снега</t>
  </si>
  <si>
    <t>№3 от 12.01.09</t>
  </si>
  <si>
    <t>февраль</t>
  </si>
  <si>
    <t>№4 от 04.02.09 (вывоз елок)</t>
  </si>
  <si>
    <t>№5 от 18.03.09</t>
  </si>
  <si>
    <t>№6 от 20.03.2009 (очистка дороги)</t>
  </si>
  <si>
    <t>№95 от 26.06.09</t>
  </si>
  <si>
    <t>№96 от 14.08.09</t>
  </si>
  <si>
    <t>№128 от 14.10.09</t>
  </si>
  <si>
    <t>декабрь</t>
  </si>
  <si>
    <t>№150 от 11.12.09</t>
  </si>
  <si>
    <t>№158 от 28.12.09 (вывоз снега)</t>
  </si>
  <si>
    <t>Поверка  счетчиков</t>
  </si>
  <si>
    <t>№4 от 30.01.09 (обслуж. Узлов учета)</t>
  </si>
  <si>
    <t>№19 от 27.02.09 (обслуж. Узлов учета)</t>
  </si>
  <si>
    <t>№145 от 13.04.09 (допуск в эксплуат. Узла учета)</t>
  </si>
  <si>
    <t>№115305-12 от 15.07.09 (преобразователи)</t>
  </si>
  <si>
    <t>№115306-12 от 15.07.09 (термопреобразователи)</t>
  </si>
  <si>
    <t>№127 от 28.07.09 (имитатор в тепловой узел)</t>
  </si>
  <si>
    <t>№644 от 17.11.09 (допуск в эксплуат. Узла учета)</t>
  </si>
  <si>
    <t>Обслуживание лифта</t>
  </si>
  <si>
    <t>№5 от 31.01.09</t>
  </si>
  <si>
    <t>№50 от 28.02.09</t>
  </si>
  <si>
    <t>№102 от 31.03.09</t>
  </si>
  <si>
    <t>№158 от 30.04.09</t>
  </si>
  <si>
    <t>№212 от 31.05.09</t>
  </si>
  <si>
    <t>№272 от 30.06.09</t>
  </si>
  <si>
    <t>№333 от 31.07.09</t>
  </si>
  <si>
    <t>№402 от 31.08.09</t>
  </si>
  <si>
    <t>№468 от 30.09.09</t>
  </si>
  <si>
    <t>№538 от 31.10.09</t>
  </si>
  <si>
    <t>№600 от 30.11.09</t>
  </si>
  <si>
    <t>№2905 от 12.11.09 (страхование лифтов)</t>
  </si>
  <si>
    <t>№662 от 31.12.09</t>
  </si>
  <si>
    <t>оплата за лифт офисами на 12 эт.</t>
  </si>
  <si>
    <t>№5 от 30.01.09</t>
  </si>
  <si>
    <t>№18 от 27.02.09</t>
  </si>
  <si>
    <t xml:space="preserve">Текущий ремонт </t>
  </si>
  <si>
    <t>Ремонт 4-х лифтовых холлов (ремонт в 17-й секции исключен из отчета 2009г., в связи с недоделками. Стоимость ремонта будет включена в отчет после устранения замечаний. )</t>
  </si>
  <si>
    <t>Июль №23.07.09 (ремонт стояка)</t>
  </si>
  <si>
    <t>Долевое участие в ремонте квартальной теплотрассы</t>
  </si>
  <si>
    <t>возмещение на ремонт помещения "5 континентов" из-за засора канализации бытовыми отходами</t>
  </si>
  <si>
    <t>Антенна (в год)</t>
  </si>
  <si>
    <t>Домофон (в год)</t>
  </si>
  <si>
    <t>Итого с 1% (*)</t>
  </si>
  <si>
    <t>Итого расходов:</t>
  </si>
  <si>
    <t>оставшаяся часть направлена на тех. обслуживание:</t>
  </si>
  <si>
    <t>в год</t>
  </si>
  <si>
    <t>в месяц</t>
  </si>
  <si>
    <t>За счет ставки технического обслуживания оплачиваются расходы по з/п уборщиц, дворников,</t>
  </si>
  <si>
    <t>инженера, сантехника, электрика, разнорабочего, аварийной службы, бухгалтера, юриста, кассира,</t>
  </si>
  <si>
    <t>садовника. Расходные материалы: тряпки, ведра, лопаты, лампочки, кабели, трубы для ремонта,</t>
  </si>
  <si>
    <t xml:space="preserve">инструменты слесарю и электрику, канцтовары, посадочный материал, содержание офиса </t>
  </si>
  <si>
    <t>коммунальной службы, ежегодная аттестация специалистов, незначительный ремонт общего имущества.</t>
  </si>
  <si>
    <r>
      <rPr>
        <b/>
        <sz val="12"/>
        <color indexed="8"/>
        <rFont val="Calibri"/>
        <family val="2"/>
      </rPr>
      <t>(*)</t>
    </r>
    <r>
      <rPr>
        <sz val="11"/>
        <color indexed="8"/>
        <rFont val="Calibri"/>
        <family val="2"/>
      </rPr>
      <t>Согласно Постановления президиума Высшего Арбитражного суда РФ №12611/07 от 01.04.08г.</t>
    </r>
  </si>
  <si>
    <t xml:space="preserve">и разъяснений Минфина РФ №03-11-04/2/90 от 06.06.08г. все поступления от предоставленных </t>
  </si>
  <si>
    <t xml:space="preserve">коммунальных услуг собственникам, которые ТСЖ (управляющие компании) сами не производят, </t>
  </si>
  <si>
    <t>а покупают у специализированных организаций (например: поставка тепла, воды, э/э, вывоз ТБО</t>
  </si>
  <si>
    <t xml:space="preserve">и т.д.) все равно являются доходом ТСЖ (управл. компании) и как выручка подлежат налогообложению; </t>
  </si>
  <si>
    <t xml:space="preserve">в нашем случае - минимальным налогом в размере 1%. Таким образом, стоимость коммунальных услуг, </t>
  </si>
  <si>
    <t xml:space="preserve">приобретенных у специализированных организаций, увеличивается на 1%. При перерасчете сумма </t>
  </si>
  <si>
    <t xml:space="preserve">расходов по статьям затрат сразу указана увеличенной на 1%, который управляющая компания </t>
  </si>
  <si>
    <t>перечисляет в виде минимального налога в бюджет.</t>
  </si>
  <si>
    <t>7. Перерасчет за 2009год.</t>
  </si>
  <si>
    <t>Пересчет</t>
  </si>
  <si>
    <t>2009год.</t>
  </si>
  <si>
    <t>метры</t>
  </si>
  <si>
    <t>ставка-факт.</t>
  </si>
  <si>
    <t>ставка-план</t>
  </si>
  <si>
    <t>пересчет с 1 кв. м. в мес.</t>
  </si>
  <si>
    <t>Эл/э в  МОП</t>
  </si>
  <si>
    <t>Поверка счетчиков</t>
  </si>
  <si>
    <t>к доначислению с 1 метра за год (без счетчиков воды)</t>
  </si>
  <si>
    <t>к доначислению с 1 метра за год (имеющим счетчики воды)</t>
  </si>
  <si>
    <t>(*) Для расчета ставки вода+канализация взяты кв.метры помещений без счетчиков ХВС и ГВС</t>
  </si>
  <si>
    <t>и без кв.метров помещений, по которым уже произведены перерасчеты.</t>
  </si>
  <si>
    <t xml:space="preserve">Директор </t>
  </si>
  <si>
    <t>ООО "Образцовое содержание жилья"</t>
  </si>
  <si>
    <t>Ольшанский Л.С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</si>
</sst>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4" fontId="1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wrapText="1"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ill="1" applyBorder="1" applyAlignment="1">
      <alignment wrapText="1"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164" fontId="0" fillId="0" borderId="13" xfId="0" applyNumberForma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10" xfId="0" applyBorder="1" applyAlignment="1">
      <alignment horizontal="left" wrapText="1"/>
    </xf>
    <xf numFmtId="0" fontId="0" fillId="0" borderId="32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tabSelected="1" zoomScalePageLayoutView="0" workbookViewId="0" topLeftCell="A1">
      <selection activeCell="K238" sqref="K238"/>
    </sheetView>
  </sheetViews>
  <sheetFormatPr defaultColWidth="9.140625" defaultRowHeight="15"/>
  <cols>
    <col min="1" max="1" width="28.00390625" style="0" customWidth="1"/>
    <col min="2" max="2" width="25.57421875" style="0" customWidth="1"/>
    <col min="3" max="3" width="13.00390625" style="0" customWidth="1"/>
    <col min="4" max="4" width="12.00390625" style="0" customWidth="1"/>
    <col min="5" max="5" width="10.28125" style="0" customWidth="1"/>
    <col min="6" max="6" width="9.28125" style="0" customWidth="1"/>
  </cols>
  <sheetData>
    <row r="1" spans="1:4" ht="18.75">
      <c r="A1" s="84" t="s">
        <v>0</v>
      </c>
      <c r="B1" s="84"/>
      <c r="C1" s="84"/>
      <c r="D1" s="84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7.25">
      <c r="A4" s="85" t="s">
        <v>1</v>
      </c>
      <c r="B4" s="85"/>
      <c r="C4" s="85"/>
      <c r="D4" s="85"/>
    </row>
    <row r="6" spans="1:4" ht="17.25">
      <c r="A6" s="85" t="s">
        <v>2</v>
      </c>
      <c r="B6" s="85"/>
      <c r="C6" s="85"/>
      <c r="D6" s="85"/>
    </row>
    <row r="8" spans="1:2" ht="18.75">
      <c r="A8" s="2" t="s">
        <v>3</v>
      </c>
      <c r="B8" s="3"/>
    </row>
    <row r="10" spans="1:3" ht="15">
      <c r="A10" s="4" t="s">
        <v>4</v>
      </c>
      <c r="B10" s="5">
        <v>8200</v>
      </c>
      <c r="C10" s="6"/>
    </row>
    <row r="11" spans="1:3" ht="15.75" thickBot="1">
      <c r="A11" s="7" t="s">
        <v>5</v>
      </c>
      <c r="B11" s="8">
        <v>2018.75</v>
      </c>
      <c r="C11" s="6"/>
    </row>
    <row r="12" spans="1:3" ht="15.75" thickBot="1">
      <c r="A12" s="9" t="s">
        <v>6</v>
      </c>
      <c r="B12" s="10">
        <f>SUM(B10:B11)</f>
        <v>10218.75</v>
      </c>
      <c r="C12" s="6"/>
    </row>
    <row r="13" ht="15">
      <c r="E13" t="s">
        <v>7</v>
      </c>
    </row>
    <row r="14" spans="1:3" ht="18.75">
      <c r="A14" s="2" t="s">
        <v>8</v>
      </c>
      <c r="B14" s="2"/>
      <c r="C14" s="11"/>
    </row>
    <row r="16" spans="1:2" ht="15">
      <c r="A16" t="s">
        <v>9</v>
      </c>
      <c r="B16" t="s">
        <v>10</v>
      </c>
    </row>
    <row r="17" ht="15">
      <c r="A17" t="s">
        <v>11</v>
      </c>
    </row>
    <row r="19" spans="1:4" ht="15">
      <c r="A19" s="86" t="s">
        <v>12</v>
      </c>
      <c r="B19" s="87" t="s">
        <v>13</v>
      </c>
      <c r="C19" s="86" t="s">
        <v>14</v>
      </c>
      <c r="D19" s="86" t="s">
        <v>15</v>
      </c>
    </row>
    <row r="20" spans="1:4" ht="15">
      <c r="A20" s="86"/>
      <c r="B20" s="87"/>
      <c r="C20" s="86"/>
      <c r="D20" s="86"/>
    </row>
    <row r="21" spans="1:4" ht="45">
      <c r="A21" s="86"/>
      <c r="B21" s="12" t="s">
        <v>16</v>
      </c>
      <c r="C21" s="13" t="s">
        <v>16</v>
      </c>
      <c r="D21" s="13" t="s">
        <v>17</v>
      </c>
    </row>
    <row r="22" spans="1:4" ht="30">
      <c r="A22" s="14" t="s">
        <v>18</v>
      </c>
      <c r="B22" s="12">
        <v>13</v>
      </c>
      <c r="C22" s="13">
        <v>13</v>
      </c>
      <c r="D22" s="15">
        <f>((B22*2)+(C22*10))/12</f>
        <v>13</v>
      </c>
    </row>
    <row r="23" spans="1:4" ht="15">
      <c r="A23" s="16" t="s">
        <v>19</v>
      </c>
      <c r="B23" s="15">
        <v>2.11</v>
      </c>
      <c r="C23" s="15">
        <v>2.11</v>
      </c>
      <c r="D23" s="15">
        <f>((B23*2)+(C23*10))/12</f>
        <v>2.11</v>
      </c>
    </row>
    <row r="24" spans="1:4" ht="15">
      <c r="A24" s="16" t="s">
        <v>20</v>
      </c>
      <c r="B24" s="15">
        <v>1.28</v>
      </c>
      <c r="C24" s="15">
        <v>1.28</v>
      </c>
      <c r="D24" s="15">
        <f aca="true" t="shared" si="0" ref="D24:D30">((B24*2)+(C24*10))/12</f>
        <v>1.28</v>
      </c>
    </row>
    <row r="25" spans="1:4" ht="15">
      <c r="A25" s="16" t="s">
        <v>21</v>
      </c>
      <c r="B25" s="15">
        <v>1.03</v>
      </c>
      <c r="C25" s="15">
        <v>1.03</v>
      </c>
      <c r="D25" s="15">
        <f t="shared" si="0"/>
        <v>1.03</v>
      </c>
    </row>
    <row r="26" spans="1:4" ht="15">
      <c r="A26" s="16" t="s">
        <v>22</v>
      </c>
      <c r="B26" s="15">
        <v>14.78</v>
      </c>
      <c r="C26" s="15">
        <v>12.5</v>
      </c>
      <c r="D26" s="15">
        <f t="shared" si="0"/>
        <v>12.88</v>
      </c>
    </row>
    <row r="27" spans="1:4" ht="15">
      <c r="A27" s="16" t="s">
        <v>23</v>
      </c>
      <c r="B27" s="15">
        <v>1.89</v>
      </c>
      <c r="C27" s="15">
        <v>2.26</v>
      </c>
      <c r="D27" s="15">
        <f t="shared" si="0"/>
        <v>2.1983333333333333</v>
      </c>
    </row>
    <row r="28" spans="1:4" ht="15">
      <c r="A28" s="16" t="s">
        <v>24</v>
      </c>
      <c r="B28" s="15">
        <v>1.5</v>
      </c>
      <c r="C28" s="15">
        <v>1.5</v>
      </c>
      <c r="D28" s="15">
        <f t="shared" si="0"/>
        <v>1.5</v>
      </c>
    </row>
    <row r="29" spans="1:4" ht="15">
      <c r="A29" s="16" t="s">
        <v>25</v>
      </c>
      <c r="B29" s="15">
        <v>0.98</v>
      </c>
      <c r="C29" s="15">
        <v>0</v>
      </c>
      <c r="D29" s="15">
        <f t="shared" si="0"/>
        <v>0.16333333333333333</v>
      </c>
    </row>
    <row r="30" spans="1:4" ht="15.75" thickBot="1">
      <c r="A30" s="17" t="s">
        <v>26</v>
      </c>
      <c r="B30" s="18">
        <v>0.26</v>
      </c>
      <c r="C30" s="18">
        <v>0.26</v>
      </c>
      <c r="D30" s="19">
        <f t="shared" si="0"/>
        <v>0.26</v>
      </c>
    </row>
    <row r="31" spans="1:4" ht="15.75" thickBot="1">
      <c r="A31" s="20" t="s">
        <v>27</v>
      </c>
      <c r="B31" s="21">
        <f>SUM(B22:B30)</f>
        <v>36.83</v>
      </c>
      <c r="C31" s="21">
        <f>SUM(C22:C30)</f>
        <v>33.94</v>
      </c>
      <c r="D31" s="22">
        <f>SUM(D22:D30)</f>
        <v>34.42166666666667</v>
      </c>
    </row>
    <row r="33" ht="15">
      <c r="A33" t="s">
        <v>28</v>
      </c>
    </row>
    <row r="34" spans="1:2" ht="15">
      <c r="A34" s="16" t="s">
        <v>29</v>
      </c>
      <c r="B34" s="16" t="s">
        <v>30</v>
      </c>
    </row>
    <row r="35" spans="1:2" ht="15">
      <c r="A35" s="16" t="s">
        <v>31</v>
      </c>
      <c r="B35" s="16" t="s">
        <v>32</v>
      </c>
    </row>
    <row r="37" ht="18.75">
      <c r="A37" s="2" t="s">
        <v>33</v>
      </c>
    </row>
    <row r="39" spans="1:2" ht="60">
      <c r="A39" s="23" t="s">
        <v>34</v>
      </c>
      <c r="B39" s="24">
        <v>4562191.7</v>
      </c>
    </row>
    <row r="40" spans="1:2" ht="30">
      <c r="A40" s="23" t="s">
        <v>35</v>
      </c>
      <c r="B40" s="24">
        <v>4042385.21</v>
      </c>
    </row>
    <row r="41" ht="15">
      <c r="B41" s="25"/>
    </row>
    <row r="42" spans="1:2" ht="18.75">
      <c r="A42" s="2" t="s">
        <v>36</v>
      </c>
      <c r="B42" s="25"/>
    </row>
    <row r="43" ht="15">
      <c r="B43" s="25"/>
    </row>
    <row r="44" spans="1:2" ht="30">
      <c r="A44" s="23" t="s">
        <v>37</v>
      </c>
      <c r="B44" s="26">
        <v>37416.97</v>
      </c>
    </row>
    <row r="45" spans="1:2" ht="30">
      <c r="A45" s="23" t="s">
        <v>38</v>
      </c>
      <c r="B45" s="26">
        <v>541171.26</v>
      </c>
    </row>
    <row r="46" spans="1:2" ht="15">
      <c r="A46" s="16" t="s">
        <v>39</v>
      </c>
      <c r="B46" s="26"/>
    </row>
    <row r="47" spans="1:2" ht="15">
      <c r="A47" s="16" t="s">
        <v>40</v>
      </c>
      <c r="B47" s="26">
        <v>31049.36</v>
      </c>
    </row>
    <row r="48" spans="1:2" ht="15">
      <c r="A48" s="16" t="s">
        <v>41</v>
      </c>
      <c r="B48" s="26">
        <v>14569.23</v>
      </c>
    </row>
    <row r="49" spans="1:2" ht="15">
      <c r="A49" s="27" t="s">
        <v>42</v>
      </c>
      <c r="B49" s="26">
        <v>68726.34</v>
      </c>
    </row>
    <row r="50" spans="1:2" ht="15">
      <c r="A50" s="27" t="s">
        <v>43</v>
      </c>
      <c r="B50" s="26">
        <v>55831.48</v>
      </c>
    </row>
    <row r="52" spans="1:3" ht="18.75">
      <c r="A52" s="28" t="s">
        <v>44</v>
      </c>
      <c r="B52" s="28"/>
      <c r="C52" s="6"/>
    </row>
    <row r="53" ht="15">
      <c r="A53" t="s">
        <v>45</v>
      </c>
    </row>
    <row r="54" ht="15">
      <c r="A54" t="s">
        <v>46</v>
      </c>
    </row>
    <row r="55" ht="15">
      <c r="A55" t="s">
        <v>47</v>
      </c>
    </row>
    <row r="56" ht="15">
      <c r="A56" t="s">
        <v>48</v>
      </c>
    </row>
    <row r="57" ht="15">
      <c r="A57" t="s">
        <v>49</v>
      </c>
    </row>
    <row r="59" ht="15">
      <c r="A59" t="s">
        <v>50</v>
      </c>
    </row>
    <row r="60" ht="15">
      <c r="A60" t="s">
        <v>51</v>
      </c>
    </row>
    <row r="62" ht="18.75">
      <c r="A62" s="2" t="s">
        <v>52</v>
      </c>
    </row>
    <row r="63" spans="1:5" ht="15.75">
      <c r="A63" s="29" t="s">
        <v>53</v>
      </c>
      <c r="B63" s="16"/>
      <c r="C63" s="16"/>
      <c r="D63" s="88" t="s">
        <v>54</v>
      </c>
      <c r="E63" s="88" t="s">
        <v>55</v>
      </c>
    </row>
    <row r="64" spans="1:5" ht="15">
      <c r="A64" s="30" t="s">
        <v>56</v>
      </c>
      <c r="B64" s="30" t="s">
        <v>57</v>
      </c>
      <c r="C64" s="30" t="s">
        <v>58</v>
      </c>
      <c r="D64" s="88"/>
      <c r="E64" s="88"/>
    </row>
    <row r="65" spans="1:5" ht="45">
      <c r="A65" s="16" t="s">
        <v>59</v>
      </c>
      <c r="B65" s="23" t="s">
        <v>60</v>
      </c>
      <c r="C65" s="26">
        <f>287527.3+59936.45</f>
        <v>347463.75</v>
      </c>
      <c r="D65" s="16">
        <v>497.4</v>
      </c>
      <c r="E65" s="16"/>
    </row>
    <row r="66" spans="1:5" ht="45">
      <c r="A66" s="16" t="s">
        <v>61</v>
      </c>
      <c r="B66" s="23" t="s">
        <v>62</v>
      </c>
      <c r="C66" s="26">
        <f>196644.64+59377.6</f>
        <v>256022.24000000002</v>
      </c>
      <c r="D66" s="16">
        <v>366.5</v>
      </c>
      <c r="E66" s="16"/>
    </row>
    <row r="67" spans="1:5" ht="45">
      <c r="A67" s="16" t="s">
        <v>63</v>
      </c>
      <c r="B67" s="23" t="s">
        <v>64</v>
      </c>
      <c r="C67" s="26">
        <f>151517.66+45755.68</f>
        <v>197273.34</v>
      </c>
      <c r="D67" s="16">
        <v>282.4</v>
      </c>
      <c r="E67" s="16"/>
    </row>
    <row r="68" spans="1:5" ht="45">
      <c r="A68" s="16" t="s">
        <v>65</v>
      </c>
      <c r="B68" s="23" t="s">
        <v>66</v>
      </c>
      <c r="C68" s="26">
        <f>100033.7+30177.79</f>
        <v>130211.48999999999</v>
      </c>
      <c r="D68" s="16">
        <v>186.4</v>
      </c>
      <c r="E68" s="16"/>
    </row>
    <row r="69" spans="1:5" ht="45">
      <c r="A69" s="16" t="s">
        <v>67</v>
      </c>
      <c r="B69" s="23" t="s">
        <v>68</v>
      </c>
      <c r="C69" s="26">
        <f>15508.03+4680.35</f>
        <v>20188.38</v>
      </c>
      <c r="D69" s="16">
        <v>28.9</v>
      </c>
      <c r="E69" s="16"/>
    </row>
    <row r="70" spans="1:5" ht="60">
      <c r="A70" s="16" t="s">
        <v>67</v>
      </c>
      <c r="B70" s="23" t="s">
        <v>69</v>
      </c>
      <c r="C70" s="31">
        <v>2500</v>
      </c>
      <c r="D70" s="16"/>
      <c r="E70" s="16"/>
    </row>
    <row r="71" spans="1:5" ht="45">
      <c r="A71" s="16" t="s">
        <v>70</v>
      </c>
      <c r="B71" s="23" t="s">
        <v>71</v>
      </c>
      <c r="C71" s="26">
        <f>20956.8+6356.9</f>
        <v>27313.699999999997</v>
      </c>
      <c r="D71" s="16">
        <v>39.1</v>
      </c>
      <c r="E71" s="16"/>
    </row>
    <row r="72" spans="1:5" ht="45">
      <c r="A72" s="16" t="s">
        <v>72</v>
      </c>
      <c r="B72" s="23" t="s">
        <v>73</v>
      </c>
      <c r="C72" s="26">
        <f>14100.92+3043.19</f>
        <v>17144.11</v>
      </c>
      <c r="D72" s="16">
        <v>24.3</v>
      </c>
      <c r="E72" s="16">
        <v>7.3</v>
      </c>
    </row>
    <row r="73" spans="1:5" ht="45">
      <c r="A73" s="16" t="s">
        <v>74</v>
      </c>
      <c r="B73" s="23" t="s">
        <v>75</v>
      </c>
      <c r="C73" s="26">
        <f>5608.35+1654.61</f>
        <v>7262.96</v>
      </c>
      <c r="D73" s="16">
        <v>9.2</v>
      </c>
      <c r="E73" s="16">
        <v>36.1</v>
      </c>
    </row>
    <row r="74" spans="1:5" ht="45">
      <c r="A74" s="16" t="s">
        <v>76</v>
      </c>
      <c r="B74" s="23" t="s">
        <v>77</v>
      </c>
      <c r="C74" s="26">
        <f>26267.56+7886.29</f>
        <v>34153.85</v>
      </c>
      <c r="D74" s="16">
        <v>42.9</v>
      </c>
      <c r="E74" s="16">
        <v>180.7</v>
      </c>
    </row>
    <row r="75" spans="1:5" ht="45">
      <c r="A75" s="16" t="s">
        <v>78</v>
      </c>
      <c r="B75" s="23" t="s">
        <v>79</v>
      </c>
      <c r="C75" s="26">
        <f>103824.52+15733.27</f>
        <v>119557.79000000001</v>
      </c>
      <c r="D75" s="16">
        <v>170.866</v>
      </c>
      <c r="E75" s="16">
        <v>8.532</v>
      </c>
    </row>
    <row r="76" spans="1:5" ht="45">
      <c r="A76" s="16" t="s">
        <v>80</v>
      </c>
      <c r="B76" s="23" t="s">
        <v>81</v>
      </c>
      <c r="C76" s="26">
        <f>109464.35+42821.73</f>
        <v>152286.08000000002</v>
      </c>
      <c r="D76" s="16">
        <v>218</v>
      </c>
      <c r="E76" s="16"/>
    </row>
    <row r="77" spans="1:5" ht="45">
      <c r="A77" s="16" t="s">
        <v>82</v>
      </c>
      <c r="B77" s="23" t="s">
        <v>83</v>
      </c>
      <c r="C77" s="26">
        <f>195736.51+59098.18</f>
        <v>254834.69</v>
      </c>
      <c r="D77" s="16">
        <v>364.8</v>
      </c>
      <c r="E77" s="16"/>
    </row>
    <row r="78" spans="1:5" ht="15">
      <c r="A78" s="32" t="s">
        <v>84</v>
      </c>
      <c r="B78" s="16"/>
      <c r="C78" s="24">
        <f>SUM(C65:C77)</f>
        <v>1566212.38</v>
      </c>
      <c r="D78" s="32">
        <f>SUM(D65:D77)</f>
        <v>2230.766</v>
      </c>
      <c r="E78" s="32">
        <f>SUM(E72:E77)</f>
        <v>232.632</v>
      </c>
    </row>
    <row r="79" spans="1:5" ht="15">
      <c r="A79" s="33" t="s">
        <v>85</v>
      </c>
      <c r="B79" s="16"/>
      <c r="C79" s="24">
        <f>C78*1.01</f>
        <v>1581874.5037999998</v>
      </c>
      <c r="D79" s="26"/>
      <c r="E79" s="16"/>
    </row>
    <row r="80" ht="15">
      <c r="C80" s="25"/>
    </row>
    <row r="81" spans="1:4" ht="15.75">
      <c r="A81" s="29" t="s">
        <v>86</v>
      </c>
      <c r="B81" s="34" t="s">
        <v>87</v>
      </c>
      <c r="C81" s="35" t="s">
        <v>88</v>
      </c>
      <c r="D81" s="36" t="s">
        <v>89</v>
      </c>
    </row>
    <row r="82" spans="1:4" ht="15">
      <c r="A82" s="16" t="s">
        <v>59</v>
      </c>
      <c r="B82" s="16" t="s">
        <v>90</v>
      </c>
      <c r="C82" s="26">
        <v>21244.6</v>
      </c>
      <c r="D82" s="37">
        <v>2422</v>
      </c>
    </row>
    <row r="83" spans="1:4" ht="15">
      <c r="A83" s="16" t="s">
        <v>61</v>
      </c>
      <c r="B83" s="16" t="s">
        <v>91</v>
      </c>
      <c r="C83" s="26">
        <v>28965.42</v>
      </c>
      <c r="D83" s="37">
        <f aca="true" t="shared" si="1" ref="D83:D94">C83/11.7174</f>
        <v>2472.000614470787</v>
      </c>
    </row>
    <row r="84" spans="1:4" ht="15">
      <c r="A84" s="16" t="s">
        <v>63</v>
      </c>
      <c r="B84" s="16" t="s">
        <v>92</v>
      </c>
      <c r="C84" s="26">
        <v>27781.95</v>
      </c>
      <c r="D84" s="37">
        <f t="shared" si="1"/>
        <v>2370.9995391469097</v>
      </c>
    </row>
    <row r="85" spans="1:4" ht="15">
      <c r="A85" s="16" t="s">
        <v>65</v>
      </c>
      <c r="B85" s="16" t="s">
        <v>93</v>
      </c>
      <c r="C85" s="26">
        <v>23177.01</v>
      </c>
      <c r="D85" s="37">
        <f t="shared" si="1"/>
        <v>1977.999385529213</v>
      </c>
    </row>
    <row r="86" spans="1:4" ht="15">
      <c r="A86" s="16" t="s">
        <v>67</v>
      </c>
      <c r="B86" s="16" t="s">
        <v>94</v>
      </c>
      <c r="C86" s="26">
        <v>23856.63</v>
      </c>
      <c r="D86" s="37">
        <f t="shared" si="1"/>
        <v>2036.0003072353936</v>
      </c>
    </row>
    <row r="87" spans="1:4" ht="15">
      <c r="A87" s="16" t="s">
        <v>70</v>
      </c>
      <c r="B87" s="16" t="s">
        <v>95</v>
      </c>
      <c r="C87" s="26">
        <v>21606.88</v>
      </c>
      <c r="D87" s="37">
        <f t="shared" si="1"/>
        <v>1843.9995220782769</v>
      </c>
    </row>
    <row r="88" spans="1:4" ht="15">
      <c r="A88" s="16" t="s">
        <v>72</v>
      </c>
      <c r="B88" s="16" t="s">
        <v>96</v>
      </c>
      <c r="C88" s="26">
        <v>21243.65</v>
      </c>
      <c r="D88" s="37">
        <f t="shared" si="1"/>
        <v>1813.0003243040267</v>
      </c>
    </row>
    <row r="89" spans="1:4" ht="15">
      <c r="A89" s="16" t="s">
        <v>74</v>
      </c>
      <c r="B89" s="16" t="s">
        <v>97</v>
      </c>
      <c r="C89" s="26">
        <v>22626.3</v>
      </c>
      <c r="D89" s="37">
        <f t="shared" si="1"/>
        <v>1931.000051205899</v>
      </c>
    </row>
    <row r="90" spans="1:4" ht="15">
      <c r="A90" s="16" t="s">
        <v>76</v>
      </c>
      <c r="B90" s="16" t="s">
        <v>98</v>
      </c>
      <c r="C90" s="26">
        <v>24852.56</v>
      </c>
      <c r="D90" s="37">
        <v>2458</v>
      </c>
    </row>
    <row r="91" spans="1:4" ht="15">
      <c r="A91" s="16" t="s">
        <v>78</v>
      </c>
      <c r="B91" s="16" t="s">
        <v>99</v>
      </c>
      <c r="C91" s="26">
        <v>24325.32</v>
      </c>
      <c r="D91" s="37">
        <f t="shared" si="1"/>
        <v>2075.9997951764044</v>
      </c>
    </row>
    <row r="92" spans="1:4" ht="15">
      <c r="A92" s="16" t="s">
        <v>80</v>
      </c>
      <c r="B92" s="16" t="s">
        <v>100</v>
      </c>
      <c r="C92" s="26">
        <v>27946</v>
      </c>
      <c r="D92" s="37">
        <f t="shared" si="1"/>
        <v>2385.0000853431648</v>
      </c>
    </row>
    <row r="93" spans="1:4" ht="15">
      <c r="A93" s="16" t="s">
        <v>82</v>
      </c>
      <c r="B93" s="16" t="s">
        <v>101</v>
      </c>
      <c r="C93" s="26">
        <v>45522.1</v>
      </c>
      <c r="D93" s="37">
        <f t="shared" si="1"/>
        <v>3885.0000853431648</v>
      </c>
    </row>
    <row r="94" spans="1:4" ht="15">
      <c r="A94" s="32" t="s">
        <v>84</v>
      </c>
      <c r="B94" s="16"/>
      <c r="C94" s="24">
        <f>SUM(C82:C93)</f>
        <v>313148.4199999999</v>
      </c>
      <c r="D94" s="38">
        <f t="shared" si="1"/>
        <v>26725.077235564197</v>
      </c>
    </row>
    <row r="95" spans="1:5" ht="30">
      <c r="A95" s="39" t="s">
        <v>102</v>
      </c>
      <c r="B95" s="16"/>
      <c r="C95" s="24">
        <v>27822.96</v>
      </c>
      <c r="D95" s="40"/>
      <c r="E95" s="25"/>
    </row>
    <row r="96" spans="1:4" ht="15">
      <c r="A96" s="39" t="s">
        <v>103</v>
      </c>
      <c r="B96" s="16"/>
      <c r="C96" s="24">
        <f>C94-C95</f>
        <v>285325.4599999999</v>
      </c>
      <c r="D96" s="40"/>
    </row>
    <row r="97" spans="1:4" ht="15">
      <c r="A97" s="33" t="s">
        <v>85</v>
      </c>
      <c r="B97" s="16"/>
      <c r="C97" s="24">
        <f>C96*1.01</f>
        <v>288178.7145999999</v>
      </c>
      <c r="D97" s="40"/>
    </row>
    <row r="98" spans="1:3" ht="15">
      <c r="A98" s="41"/>
      <c r="B98" s="6"/>
      <c r="C98" s="42"/>
    </row>
    <row r="99" spans="1:3" ht="15">
      <c r="A99" s="43" t="s">
        <v>104</v>
      </c>
      <c r="B99" s="16" t="s">
        <v>105</v>
      </c>
      <c r="C99" s="24">
        <v>31882.54</v>
      </c>
    </row>
    <row r="100" spans="1:3" ht="15">
      <c r="A100" s="43" t="s">
        <v>85</v>
      </c>
      <c r="B100" s="16"/>
      <c r="C100" s="24">
        <f>C99*1.01</f>
        <v>32201.365400000002</v>
      </c>
    </row>
    <row r="101" spans="1:3" ht="15">
      <c r="A101" s="41"/>
      <c r="B101" s="6"/>
      <c r="C101" s="42"/>
    </row>
    <row r="102" spans="1:4" ht="15.75">
      <c r="A102" s="29" t="s">
        <v>106</v>
      </c>
      <c r="B102" s="34" t="s">
        <v>87</v>
      </c>
      <c r="C102" s="35" t="s">
        <v>88</v>
      </c>
      <c r="D102" s="36" t="s">
        <v>107</v>
      </c>
    </row>
    <row r="103" spans="1:4" ht="15">
      <c r="A103" s="16" t="s">
        <v>59</v>
      </c>
      <c r="B103" s="16" t="s">
        <v>108</v>
      </c>
      <c r="C103" s="26">
        <v>22285.37</v>
      </c>
      <c r="D103" s="44">
        <f>C103/2.11</f>
        <v>10561.78672985782</v>
      </c>
    </row>
    <row r="104" spans="1:4" ht="15">
      <c r="A104" s="16" t="s">
        <v>61</v>
      </c>
      <c r="B104" s="16" t="s">
        <v>109</v>
      </c>
      <c r="C104" s="26">
        <v>21146.53</v>
      </c>
      <c r="D104" s="44">
        <f aca="true" t="shared" si="2" ref="D104:D114">C104/2.11</f>
        <v>10022.052132701421</v>
      </c>
    </row>
    <row r="105" spans="1:4" ht="15">
      <c r="A105" s="16" t="s">
        <v>63</v>
      </c>
      <c r="B105" s="16" t="s">
        <v>110</v>
      </c>
      <c r="C105" s="26">
        <v>23013.64</v>
      </c>
      <c r="D105" s="44">
        <f t="shared" si="2"/>
        <v>10906.938388625593</v>
      </c>
    </row>
    <row r="106" spans="1:4" ht="15">
      <c r="A106" s="16" t="s">
        <v>65</v>
      </c>
      <c r="B106" s="16" t="s">
        <v>111</v>
      </c>
      <c r="C106" s="26">
        <v>25650.59</v>
      </c>
      <c r="D106" s="44">
        <f t="shared" si="2"/>
        <v>12156.677725118485</v>
      </c>
    </row>
    <row r="107" spans="1:5" ht="15">
      <c r="A107" s="16" t="s">
        <v>67</v>
      </c>
      <c r="B107" s="16" t="s">
        <v>112</v>
      </c>
      <c r="C107" s="26">
        <v>18399.79</v>
      </c>
      <c r="D107" s="44">
        <f t="shared" si="2"/>
        <v>8720.279620853082</v>
      </c>
      <c r="E107" s="25"/>
    </row>
    <row r="108" spans="1:4" ht="15">
      <c r="A108" s="16" t="s">
        <v>70</v>
      </c>
      <c r="B108" s="16" t="s">
        <v>113</v>
      </c>
      <c r="C108" s="26">
        <v>21553.24</v>
      </c>
      <c r="D108" s="44">
        <f t="shared" si="2"/>
        <v>10214.805687203792</v>
      </c>
    </row>
    <row r="109" spans="1:4" ht="15">
      <c r="A109" s="16" t="s">
        <v>72</v>
      </c>
      <c r="B109" s="16" t="s">
        <v>114</v>
      </c>
      <c r="C109" s="26">
        <v>24001.5</v>
      </c>
      <c r="D109" s="44">
        <f t="shared" si="2"/>
        <v>11375.118483412323</v>
      </c>
    </row>
    <row r="110" spans="1:4" ht="15">
      <c r="A110" s="16" t="s">
        <v>74</v>
      </c>
      <c r="B110" s="16" t="s">
        <v>115</v>
      </c>
      <c r="C110" s="26">
        <v>21375.62</v>
      </c>
      <c r="D110" s="44">
        <f t="shared" si="2"/>
        <v>10130.625592417062</v>
      </c>
    </row>
    <row r="111" spans="1:4" ht="15">
      <c r="A111" s="16" t="s">
        <v>76</v>
      </c>
      <c r="B111" s="16" t="s">
        <v>116</v>
      </c>
      <c r="C111" s="26">
        <v>22241.09</v>
      </c>
      <c r="D111" s="44">
        <f t="shared" si="2"/>
        <v>10540.8009478673</v>
      </c>
    </row>
    <row r="112" spans="1:4" ht="15">
      <c r="A112" s="16" t="s">
        <v>78</v>
      </c>
      <c r="B112" s="16" t="s">
        <v>117</v>
      </c>
      <c r="C112" s="31">
        <v>21961.03</v>
      </c>
      <c r="D112" s="44">
        <f t="shared" si="2"/>
        <v>10408.071090047393</v>
      </c>
    </row>
    <row r="113" spans="1:4" ht="15">
      <c r="A113" s="16" t="s">
        <v>80</v>
      </c>
      <c r="B113" s="16" t="s">
        <v>118</v>
      </c>
      <c r="C113" s="31">
        <v>25390.61</v>
      </c>
      <c r="D113" s="44">
        <f t="shared" si="2"/>
        <v>12033.464454976305</v>
      </c>
    </row>
    <row r="114" spans="1:4" ht="15">
      <c r="A114" s="16" t="s">
        <v>82</v>
      </c>
      <c r="B114" s="16" t="s">
        <v>119</v>
      </c>
      <c r="C114" s="31">
        <v>22659.53</v>
      </c>
      <c r="D114" s="44">
        <f t="shared" si="2"/>
        <v>10739.11374407583</v>
      </c>
    </row>
    <row r="115" spans="1:4" ht="15">
      <c r="A115" s="32" t="s">
        <v>84</v>
      </c>
      <c r="B115" s="16" t="s">
        <v>120</v>
      </c>
      <c r="C115" s="24">
        <v>269723.54</v>
      </c>
      <c r="D115" s="45">
        <f>C115/2.11</f>
        <v>127831.0616113744</v>
      </c>
    </row>
    <row r="116" spans="1:4" ht="15">
      <c r="A116" s="32" t="s">
        <v>85</v>
      </c>
      <c r="B116" s="16"/>
      <c r="C116" s="24">
        <f>C115*1.01</f>
        <v>272420.7754</v>
      </c>
      <c r="D116" s="16"/>
    </row>
    <row r="117" ht="15">
      <c r="C117" s="25"/>
    </row>
    <row r="118" spans="1:3" ht="15.75">
      <c r="A118" s="29" t="s">
        <v>121</v>
      </c>
      <c r="B118" s="34" t="s">
        <v>87</v>
      </c>
      <c r="C118" s="35" t="s">
        <v>88</v>
      </c>
    </row>
    <row r="119" spans="1:3" ht="15">
      <c r="A119" s="16" t="s">
        <v>59</v>
      </c>
      <c r="B119" s="23" t="s">
        <v>122</v>
      </c>
      <c r="C119" s="26">
        <v>14718.77</v>
      </c>
    </row>
    <row r="120" spans="1:3" ht="15">
      <c r="A120" s="16" t="s">
        <v>61</v>
      </c>
      <c r="B120" s="23" t="s">
        <v>123</v>
      </c>
      <c r="C120" s="26">
        <v>14718.77</v>
      </c>
    </row>
    <row r="121" spans="1:3" ht="15">
      <c r="A121" s="16" t="s">
        <v>63</v>
      </c>
      <c r="B121" s="23" t="s">
        <v>124</v>
      </c>
      <c r="C121" s="26">
        <v>14718.77</v>
      </c>
    </row>
    <row r="122" spans="1:3" ht="15">
      <c r="A122" s="16" t="s">
        <v>65</v>
      </c>
      <c r="B122" s="23" t="s">
        <v>125</v>
      </c>
      <c r="C122" s="26">
        <v>14718.77</v>
      </c>
    </row>
    <row r="123" spans="1:3" ht="15">
      <c r="A123" s="16" t="s">
        <v>67</v>
      </c>
      <c r="B123" s="23" t="s">
        <v>126</v>
      </c>
      <c r="C123" s="26">
        <v>14718.77</v>
      </c>
    </row>
    <row r="124" spans="1:3" ht="15">
      <c r="A124" s="16" t="s">
        <v>70</v>
      </c>
      <c r="B124" s="23" t="s">
        <v>127</v>
      </c>
      <c r="C124" s="26">
        <v>14718.77</v>
      </c>
    </row>
    <row r="125" spans="1:3" ht="30">
      <c r="A125" s="16" t="s">
        <v>70</v>
      </c>
      <c r="B125" s="23" t="s">
        <v>128</v>
      </c>
      <c r="C125" s="26">
        <v>675</v>
      </c>
    </row>
    <row r="126" spans="1:3" ht="15">
      <c r="A126" s="16" t="s">
        <v>72</v>
      </c>
      <c r="B126" s="23" t="s">
        <v>129</v>
      </c>
      <c r="C126" s="26">
        <v>14718.77</v>
      </c>
    </row>
    <row r="127" spans="1:3" ht="15">
      <c r="A127" s="16" t="s">
        <v>74</v>
      </c>
      <c r="B127" s="23" t="s">
        <v>130</v>
      </c>
      <c r="C127" s="26">
        <v>14718.77</v>
      </c>
    </row>
    <row r="128" spans="1:3" ht="15">
      <c r="A128" s="16" t="s">
        <v>76</v>
      </c>
      <c r="B128" s="23" t="s">
        <v>131</v>
      </c>
      <c r="C128" s="26">
        <v>14718.77</v>
      </c>
    </row>
    <row r="129" spans="1:3" ht="15">
      <c r="A129" s="16" t="s">
        <v>78</v>
      </c>
      <c r="B129" s="23" t="s">
        <v>132</v>
      </c>
      <c r="C129" s="26">
        <v>14718.77</v>
      </c>
    </row>
    <row r="130" spans="1:3" ht="15">
      <c r="A130" s="16" t="s">
        <v>80</v>
      </c>
      <c r="B130" s="23" t="s">
        <v>133</v>
      </c>
      <c r="C130" s="26">
        <v>14718.77</v>
      </c>
    </row>
    <row r="131" spans="1:3" ht="15">
      <c r="A131" s="16" t="s">
        <v>82</v>
      </c>
      <c r="B131" s="23" t="s">
        <v>134</v>
      </c>
      <c r="C131" s="26">
        <v>14718.77</v>
      </c>
    </row>
    <row r="132" spans="1:3" ht="15">
      <c r="A132" s="32" t="s">
        <v>84</v>
      </c>
      <c r="B132" s="23"/>
      <c r="C132" s="24">
        <f>SUM(C119:C131)</f>
        <v>177300.24</v>
      </c>
    </row>
    <row r="133" spans="1:3" ht="15">
      <c r="A133" s="33" t="s">
        <v>85</v>
      </c>
      <c r="B133" s="23"/>
      <c r="C133" s="24">
        <f>C132*1.01</f>
        <v>179073.2424</v>
      </c>
    </row>
    <row r="134" spans="2:3" ht="15">
      <c r="B134" s="46"/>
      <c r="C134" s="25"/>
    </row>
    <row r="135" spans="1:3" ht="18.75">
      <c r="A135" s="29" t="s">
        <v>135</v>
      </c>
      <c r="B135" s="47"/>
      <c r="C135" s="26"/>
    </row>
    <row r="136" spans="1:3" ht="15.75">
      <c r="A136" s="48" t="s">
        <v>59</v>
      </c>
      <c r="B136" s="23" t="s">
        <v>136</v>
      </c>
      <c r="C136" s="26">
        <v>6000</v>
      </c>
    </row>
    <row r="137" spans="1:3" ht="30">
      <c r="A137" s="5" t="s">
        <v>137</v>
      </c>
      <c r="B137" s="23" t="s">
        <v>138</v>
      </c>
      <c r="C137" s="31">
        <v>2000</v>
      </c>
    </row>
    <row r="138" spans="1:3" ht="15.75">
      <c r="A138" s="48" t="s">
        <v>63</v>
      </c>
      <c r="B138" s="23" t="s">
        <v>139</v>
      </c>
      <c r="C138" s="26">
        <v>6600</v>
      </c>
    </row>
    <row r="139" spans="1:3" ht="30">
      <c r="A139" s="16" t="s">
        <v>63</v>
      </c>
      <c r="B139" s="23" t="s">
        <v>140</v>
      </c>
      <c r="C139" s="31">
        <v>1500</v>
      </c>
    </row>
    <row r="140" spans="1:3" ht="15">
      <c r="A140" s="16" t="s">
        <v>70</v>
      </c>
      <c r="B140" s="23" t="s">
        <v>141</v>
      </c>
      <c r="C140" s="26">
        <v>1900</v>
      </c>
    </row>
    <row r="141" spans="1:3" ht="15">
      <c r="A141" s="16" t="s">
        <v>74</v>
      </c>
      <c r="B141" s="23" t="s">
        <v>142</v>
      </c>
      <c r="C141" s="26">
        <v>1900</v>
      </c>
    </row>
    <row r="142" spans="1:3" ht="15">
      <c r="A142" s="16" t="s">
        <v>78</v>
      </c>
      <c r="B142" s="23" t="s">
        <v>143</v>
      </c>
      <c r="C142" s="26">
        <v>1267</v>
      </c>
    </row>
    <row r="143" spans="1:3" ht="15">
      <c r="A143" s="16" t="s">
        <v>144</v>
      </c>
      <c r="B143" s="23" t="s">
        <v>145</v>
      </c>
      <c r="C143" s="26">
        <v>5700</v>
      </c>
    </row>
    <row r="144" spans="1:3" ht="30">
      <c r="A144" s="5" t="s">
        <v>144</v>
      </c>
      <c r="B144" s="23" t="s">
        <v>146</v>
      </c>
      <c r="C144" s="31">
        <v>11400</v>
      </c>
    </row>
    <row r="145" spans="1:3" ht="15">
      <c r="A145" s="29" t="s">
        <v>84</v>
      </c>
      <c r="B145" s="23"/>
      <c r="C145" s="24">
        <f>SUM(C136:C144)</f>
        <v>38267</v>
      </c>
    </row>
    <row r="146" spans="1:3" ht="15">
      <c r="A146" s="33" t="s">
        <v>85</v>
      </c>
      <c r="B146" s="23"/>
      <c r="C146" s="24">
        <f>C145*1.01</f>
        <v>38649.67</v>
      </c>
    </row>
    <row r="147" spans="2:3" ht="15">
      <c r="B147" s="46"/>
      <c r="C147" s="25"/>
    </row>
    <row r="148" spans="1:3" ht="15.75">
      <c r="A148" s="29" t="s">
        <v>147</v>
      </c>
      <c r="B148" s="34" t="s">
        <v>87</v>
      </c>
      <c r="C148" s="35" t="s">
        <v>88</v>
      </c>
    </row>
    <row r="149" spans="1:3" ht="30">
      <c r="A149" s="5" t="s">
        <v>59</v>
      </c>
      <c r="B149" s="23" t="s">
        <v>148</v>
      </c>
      <c r="C149" s="31">
        <v>1540</v>
      </c>
    </row>
    <row r="150" spans="1:3" ht="30">
      <c r="A150" s="5" t="s">
        <v>61</v>
      </c>
      <c r="B150" s="23" t="s">
        <v>149</v>
      </c>
      <c r="C150" s="31">
        <v>1540</v>
      </c>
    </row>
    <row r="151" spans="1:3" ht="45">
      <c r="A151" s="16" t="s">
        <v>65</v>
      </c>
      <c r="B151" s="23" t="s">
        <v>150</v>
      </c>
      <c r="C151" s="26">
        <v>1559.99</v>
      </c>
    </row>
    <row r="152" spans="1:3" ht="45">
      <c r="A152" s="16" t="s">
        <v>72</v>
      </c>
      <c r="B152" s="23" t="s">
        <v>151</v>
      </c>
      <c r="C152" s="26">
        <v>4611.44</v>
      </c>
    </row>
    <row r="153" spans="1:3" ht="45">
      <c r="A153" s="16" t="s">
        <v>72</v>
      </c>
      <c r="B153" s="23" t="s">
        <v>152</v>
      </c>
      <c r="C153" s="26">
        <v>929.84</v>
      </c>
    </row>
    <row r="154" spans="1:3" ht="45">
      <c r="A154" s="16" t="s">
        <v>72</v>
      </c>
      <c r="B154" s="23" t="s">
        <v>153</v>
      </c>
      <c r="C154" s="26">
        <v>4075.72</v>
      </c>
    </row>
    <row r="155" spans="1:3" ht="45">
      <c r="A155" s="16" t="s">
        <v>80</v>
      </c>
      <c r="B155" s="23" t="s">
        <v>154</v>
      </c>
      <c r="C155" s="26">
        <v>1560</v>
      </c>
    </row>
    <row r="156" spans="1:3" ht="15">
      <c r="A156" s="32" t="s">
        <v>84</v>
      </c>
      <c r="B156" s="23"/>
      <c r="C156" s="24">
        <f>SUM(C149:C155)</f>
        <v>15816.99</v>
      </c>
    </row>
    <row r="157" spans="1:3" ht="15">
      <c r="A157" s="33" t="s">
        <v>85</v>
      </c>
      <c r="B157" s="23"/>
      <c r="C157" s="24">
        <f>C156*1.01</f>
        <v>15975.1599</v>
      </c>
    </row>
    <row r="159" spans="1:3" ht="15.75">
      <c r="A159" s="29" t="s">
        <v>155</v>
      </c>
      <c r="B159" s="34" t="s">
        <v>87</v>
      </c>
      <c r="C159" s="35" t="s">
        <v>88</v>
      </c>
    </row>
    <row r="160" spans="1:3" ht="15">
      <c r="A160" s="16" t="s">
        <v>59</v>
      </c>
      <c r="B160" s="23" t="s">
        <v>156</v>
      </c>
      <c r="C160" s="26">
        <v>8177.4</v>
      </c>
    </row>
    <row r="161" spans="1:3" ht="15">
      <c r="A161" s="16" t="s">
        <v>61</v>
      </c>
      <c r="B161" s="23" t="s">
        <v>157</v>
      </c>
      <c r="C161" s="26">
        <v>8177.4</v>
      </c>
    </row>
    <row r="162" spans="1:3" ht="15">
      <c r="A162" s="16" t="s">
        <v>63</v>
      </c>
      <c r="B162" s="23" t="s">
        <v>158</v>
      </c>
      <c r="C162" s="26">
        <v>8177.4</v>
      </c>
    </row>
    <row r="163" spans="1:3" ht="15">
      <c r="A163" s="16" t="s">
        <v>65</v>
      </c>
      <c r="B163" s="23" t="s">
        <v>159</v>
      </c>
      <c r="C163" s="26">
        <v>8177.4</v>
      </c>
    </row>
    <row r="164" spans="1:3" ht="15">
      <c r="A164" s="16" t="s">
        <v>67</v>
      </c>
      <c r="B164" s="23" t="s">
        <v>160</v>
      </c>
      <c r="C164" s="26">
        <v>8177.4</v>
      </c>
    </row>
    <row r="165" spans="1:3" ht="15">
      <c r="A165" s="16" t="s">
        <v>70</v>
      </c>
      <c r="B165" s="23" t="s">
        <v>161</v>
      </c>
      <c r="C165" s="26">
        <v>8177.4</v>
      </c>
    </row>
    <row r="166" spans="1:3" ht="15">
      <c r="A166" s="16" t="s">
        <v>72</v>
      </c>
      <c r="B166" s="23" t="s">
        <v>162</v>
      </c>
      <c r="C166" s="26">
        <v>8177.4</v>
      </c>
    </row>
    <row r="167" spans="1:3" ht="15">
      <c r="A167" s="16" t="s">
        <v>74</v>
      </c>
      <c r="B167" s="23" t="s">
        <v>163</v>
      </c>
      <c r="C167" s="26">
        <v>8177.4</v>
      </c>
    </row>
    <row r="168" spans="1:3" ht="15">
      <c r="A168" s="16" t="s">
        <v>76</v>
      </c>
      <c r="B168" s="23" t="s">
        <v>164</v>
      </c>
      <c r="C168" s="26">
        <v>8177.4</v>
      </c>
    </row>
    <row r="169" spans="1:3" ht="15">
      <c r="A169" s="16" t="s">
        <v>78</v>
      </c>
      <c r="B169" s="23" t="s">
        <v>165</v>
      </c>
      <c r="C169" s="26">
        <v>8177.4</v>
      </c>
    </row>
    <row r="170" spans="1:3" ht="15">
      <c r="A170" s="16" t="s">
        <v>80</v>
      </c>
      <c r="B170" s="23" t="s">
        <v>166</v>
      </c>
      <c r="C170" s="26">
        <v>8177.4</v>
      </c>
    </row>
    <row r="171" spans="1:3" ht="30">
      <c r="A171" s="16" t="s">
        <v>80</v>
      </c>
      <c r="B171" s="23" t="s">
        <v>167</v>
      </c>
      <c r="C171" s="26">
        <v>500</v>
      </c>
    </row>
    <row r="172" spans="1:3" ht="15">
      <c r="A172" s="16" t="s">
        <v>82</v>
      </c>
      <c r="B172" s="23" t="s">
        <v>168</v>
      </c>
      <c r="C172" s="26">
        <v>8177.4</v>
      </c>
    </row>
    <row r="173" spans="1:3" ht="15">
      <c r="A173" s="32" t="s">
        <v>84</v>
      </c>
      <c r="B173" s="39"/>
      <c r="C173" s="24">
        <f>SUM(C160:C172)</f>
        <v>98628.79999999999</v>
      </c>
    </row>
    <row r="174" spans="1:3" ht="15">
      <c r="A174" s="32" t="s">
        <v>169</v>
      </c>
      <c r="B174" s="39"/>
      <c r="C174" s="24">
        <f>22841</f>
        <v>22841</v>
      </c>
    </row>
    <row r="175" spans="1:3" ht="15">
      <c r="A175" s="33" t="s">
        <v>85</v>
      </c>
      <c r="B175" s="39"/>
      <c r="C175" s="24">
        <f>C173*1.01-22841.28</f>
        <v>76773.80799999999</v>
      </c>
    </row>
    <row r="176" spans="2:3" ht="15">
      <c r="B176" s="46"/>
      <c r="C176" s="25"/>
    </row>
    <row r="177" spans="1:3" ht="15.75">
      <c r="A177" s="49" t="s">
        <v>25</v>
      </c>
      <c r="B177" s="34" t="s">
        <v>87</v>
      </c>
      <c r="C177" s="35" t="s">
        <v>88</v>
      </c>
    </row>
    <row r="178" spans="1:3" ht="15">
      <c r="A178" s="16" t="s">
        <v>59</v>
      </c>
      <c r="B178" s="23" t="s">
        <v>170</v>
      </c>
      <c r="C178" s="26">
        <v>8840</v>
      </c>
    </row>
    <row r="179" spans="1:3" ht="15">
      <c r="A179" s="16" t="s">
        <v>61</v>
      </c>
      <c r="B179" s="23" t="s">
        <v>171</v>
      </c>
      <c r="C179" s="26">
        <v>8840</v>
      </c>
    </row>
    <row r="180" spans="1:3" ht="15">
      <c r="A180" s="32" t="s">
        <v>84</v>
      </c>
      <c r="B180" s="39"/>
      <c r="C180" s="24">
        <f>SUM(C178:C179)</f>
        <v>17680</v>
      </c>
    </row>
    <row r="181" spans="1:3" ht="15">
      <c r="A181" s="33" t="s">
        <v>85</v>
      </c>
      <c r="B181" s="39"/>
      <c r="C181" s="24">
        <f>C180*1.01</f>
        <v>17856.8</v>
      </c>
    </row>
    <row r="182" spans="2:3" ht="15">
      <c r="B182" s="46"/>
      <c r="C182" s="25"/>
    </row>
    <row r="183" spans="1:3" ht="18.75">
      <c r="A183" s="49" t="s">
        <v>172</v>
      </c>
      <c r="B183" s="47"/>
      <c r="C183" s="50" t="s">
        <v>88</v>
      </c>
    </row>
    <row r="184" spans="1:3" ht="15">
      <c r="A184" s="89" t="s">
        <v>173</v>
      </c>
      <c r="B184" s="89"/>
      <c r="C184" s="90">
        <f>151570-39810</f>
        <v>111760</v>
      </c>
    </row>
    <row r="185" spans="1:5" ht="15">
      <c r="A185" s="89"/>
      <c r="B185" s="89"/>
      <c r="C185" s="91"/>
      <c r="D185" s="6"/>
      <c r="E185" s="6"/>
    </row>
    <row r="186" spans="1:5" ht="15">
      <c r="A186" s="16" t="s">
        <v>174</v>
      </c>
      <c r="B186" s="23"/>
      <c r="C186" s="26">
        <v>3200</v>
      </c>
      <c r="D186" s="6"/>
      <c r="E186" s="51"/>
    </row>
    <row r="187" spans="1:3" ht="15">
      <c r="A187" s="16" t="s">
        <v>175</v>
      </c>
      <c r="B187" s="23"/>
      <c r="C187" s="26">
        <v>177167.08</v>
      </c>
    </row>
    <row r="188" spans="1:3" ht="15">
      <c r="A188" s="92" t="s">
        <v>176</v>
      </c>
      <c r="B188" s="93"/>
      <c r="C188" s="31">
        <v>69590.66</v>
      </c>
    </row>
    <row r="189" spans="1:3" ht="15">
      <c r="A189" s="32" t="s">
        <v>84</v>
      </c>
      <c r="B189" s="39"/>
      <c r="C189" s="24">
        <f>SUM(C184:C188)</f>
        <v>361717.74</v>
      </c>
    </row>
    <row r="190" spans="1:3" ht="15">
      <c r="A190" s="33" t="s">
        <v>85</v>
      </c>
      <c r="B190" s="32"/>
      <c r="C190" s="24">
        <f>C189*1.01</f>
        <v>365334.9174</v>
      </c>
    </row>
    <row r="191" spans="1:3" ht="15">
      <c r="A191" s="41"/>
      <c r="B191" s="52"/>
      <c r="C191" s="42"/>
    </row>
    <row r="192" spans="1:3" ht="15.75">
      <c r="A192" s="53" t="s">
        <v>177</v>
      </c>
      <c r="B192" s="32"/>
      <c r="C192" s="24">
        <v>13618.8</v>
      </c>
    </row>
    <row r="193" spans="1:3" ht="15.75">
      <c r="A193" s="53" t="s">
        <v>178</v>
      </c>
      <c r="B193" s="32"/>
      <c r="C193" s="24">
        <v>37380</v>
      </c>
    </row>
    <row r="194" spans="1:3" ht="15.75">
      <c r="A194" s="53" t="s">
        <v>179</v>
      </c>
      <c r="B194" s="32"/>
      <c r="C194" s="24">
        <f>(C192+C193)*1.01</f>
        <v>51508.788</v>
      </c>
    </row>
    <row r="195" spans="1:3" ht="15">
      <c r="A195" s="41"/>
      <c r="B195" s="52"/>
      <c r="C195" s="42"/>
    </row>
    <row r="196" spans="1:3" ht="18.75">
      <c r="A196" s="54" t="s">
        <v>180</v>
      </c>
      <c r="B196" s="32"/>
      <c r="C196" s="24">
        <f>C79+C97+C116+C133+C146+C157+C175+C181+C190+C194+C100</f>
        <v>2919847.7449</v>
      </c>
    </row>
    <row r="197" spans="1:3" ht="15">
      <c r="A197" s="33" t="s">
        <v>181</v>
      </c>
      <c r="B197" s="32"/>
      <c r="C197" s="24"/>
    </row>
    <row r="198" spans="1:3" ht="15">
      <c r="A198" s="33" t="s">
        <v>182</v>
      </c>
      <c r="B198" s="16"/>
      <c r="C198" s="24">
        <f>B40-C196</f>
        <v>1122537.4651000001</v>
      </c>
    </row>
    <row r="199" spans="1:4" ht="15">
      <c r="A199" s="33" t="s">
        <v>183</v>
      </c>
      <c r="B199" s="16"/>
      <c r="C199" s="24">
        <f>C198/12</f>
        <v>93544.78875833335</v>
      </c>
      <c r="D199" s="25"/>
    </row>
    <row r="200" spans="1:4" ht="15">
      <c r="A200" s="55" t="s">
        <v>184</v>
      </c>
      <c r="B200" s="6"/>
      <c r="C200" s="42"/>
      <c r="D200" s="25"/>
    </row>
    <row r="201" spans="1:4" ht="15">
      <c r="A201" s="56" t="s">
        <v>185</v>
      </c>
      <c r="B201" s="6"/>
      <c r="C201" s="42"/>
      <c r="D201" s="25"/>
    </row>
    <row r="202" spans="1:4" ht="15">
      <c r="A202" s="56" t="s">
        <v>186</v>
      </c>
      <c r="B202" s="6"/>
      <c r="C202" s="42"/>
      <c r="D202" s="25"/>
    </row>
    <row r="203" spans="1:4" ht="15">
      <c r="A203" s="55" t="s">
        <v>187</v>
      </c>
      <c r="B203" s="6"/>
      <c r="C203" s="42"/>
      <c r="D203" s="25"/>
    </row>
    <row r="204" spans="1:4" ht="15">
      <c r="A204" s="55" t="s">
        <v>188</v>
      </c>
      <c r="B204" s="6"/>
      <c r="C204" s="42"/>
      <c r="D204" s="25"/>
    </row>
    <row r="205" ht="15">
      <c r="A205" s="41"/>
    </row>
    <row r="206" ht="15.75">
      <c r="A206" t="s">
        <v>189</v>
      </c>
    </row>
    <row r="207" ht="15">
      <c r="A207" t="s">
        <v>190</v>
      </c>
    </row>
    <row r="208" ht="15">
      <c r="A208" t="s">
        <v>191</v>
      </c>
    </row>
    <row r="209" ht="15">
      <c r="A209" t="s">
        <v>192</v>
      </c>
    </row>
    <row r="210" ht="15">
      <c r="A210" t="s">
        <v>193</v>
      </c>
    </row>
    <row r="211" ht="15">
      <c r="A211" t="s">
        <v>194</v>
      </c>
    </row>
    <row r="212" ht="15">
      <c r="A212" t="s">
        <v>195</v>
      </c>
    </row>
    <row r="213" ht="15">
      <c r="A213" t="s">
        <v>196</v>
      </c>
    </row>
    <row r="214" ht="15">
      <c r="A214" t="s">
        <v>197</v>
      </c>
    </row>
    <row r="216" ht="18.75">
      <c r="A216" s="2" t="s">
        <v>198</v>
      </c>
    </row>
    <row r="217" ht="15.75" thickBot="1"/>
    <row r="218" spans="1:6" ht="60.75" thickBot="1">
      <c r="A218" s="57" t="s">
        <v>199</v>
      </c>
      <c r="B218" s="57" t="s">
        <v>200</v>
      </c>
      <c r="C218" s="58" t="s">
        <v>201</v>
      </c>
      <c r="D218" s="59" t="s">
        <v>202</v>
      </c>
      <c r="E218" s="60" t="s">
        <v>203</v>
      </c>
      <c r="F218" s="61" t="s">
        <v>204</v>
      </c>
    </row>
    <row r="219" spans="1:6" ht="15">
      <c r="A219" s="62"/>
      <c r="B219" s="62"/>
      <c r="C219" s="63"/>
      <c r="D219" s="64"/>
      <c r="E219" s="65"/>
      <c r="F219" s="66"/>
    </row>
    <row r="220" spans="1:6" ht="15">
      <c r="A220" s="67" t="s">
        <v>86</v>
      </c>
      <c r="B220" s="68">
        <v>288179</v>
      </c>
      <c r="C220" s="69">
        <f>8200-69.6-8.25</f>
        <v>8122.15</v>
      </c>
      <c r="D220" s="70">
        <f aca="true" t="shared" si="3" ref="D220:D228">B220/C220/12</f>
        <v>2.956719177393506</v>
      </c>
      <c r="E220" s="65">
        <v>2.11</v>
      </c>
      <c r="F220" s="71">
        <f>E220-D220</f>
        <v>-0.8467191773935063</v>
      </c>
    </row>
    <row r="221" spans="1:6" ht="15">
      <c r="A221" s="67" t="s">
        <v>121</v>
      </c>
      <c r="B221" s="68">
        <f>177300.24*1.01</f>
        <v>179073.2424</v>
      </c>
      <c r="C221" s="69">
        <f>10227-8.25</f>
        <v>10218.75</v>
      </c>
      <c r="D221" s="70">
        <f t="shared" si="3"/>
        <v>1.4603322519877675</v>
      </c>
      <c r="E221" s="65">
        <v>1.28</v>
      </c>
      <c r="F221" s="71">
        <f aca="true" t="shared" si="4" ref="F221:F228">E221-D221</f>
        <v>-0.18033225198776748</v>
      </c>
    </row>
    <row r="222" spans="1:6" ht="15">
      <c r="A222" s="67" t="s">
        <v>21</v>
      </c>
      <c r="B222" s="72">
        <f>(98628.8*1.01)-1903.44*12</f>
        <v>76773.808</v>
      </c>
      <c r="C222" s="73">
        <f>8612-412</f>
        <v>8200</v>
      </c>
      <c r="D222" s="70">
        <f t="shared" si="3"/>
        <v>0.7802216260162602</v>
      </c>
      <c r="E222" s="65">
        <v>1.03</v>
      </c>
      <c r="F222" s="71">
        <f t="shared" si="4"/>
        <v>0.2497783739837398</v>
      </c>
    </row>
    <row r="223" spans="1:6" ht="15">
      <c r="A223" s="67" t="s">
        <v>22</v>
      </c>
      <c r="B223" s="72">
        <v>1581875</v>
      </c>
      <c r="C223" s="73">
        <f>C221</f>
        <v>10218.75</v>
      </c>
      <c r="D223" s="70">
        <f t="shared" si="3"/>
        <v>12.900101936799183</v>
      </c>
      <c r="E223" s="65">
        <v>12.88</v>
      </c>
      <c r="F223" s="71">
        <f t="shared" si="4"/>
        <v>-0.020101936799182596</v>
      </c>
    </row>
    <row r="224" spans="1:6" ht="15">
      <c r="A224" s="67" t="s">
        <v>205</v>
      </c>
      <c r="B224" s="68">
        <f>269723.54*1.01</f>
        <v>272420.7754</v>
      </c>
      <c r="C224" s="69">
        <f>C223</f>
        <v>10218.75</v>
      </c>
      <c r="D224" s="70">
        <f t="shared" si="3"/>
        <v>2.2215761500509683</v>
      </c>
      <c r="E224" s="65">
        <v>2.2</v>
      </c>
      <c r="F224" s="71">
        <f t="shared" si="4"/>
        <v>-0.021576150050968135</v>
      </c>
    </row>
    <row r="225" spans="1:6" ht="14.25">
      <c r="A225" s="67" t="s">
        <v>206</v>
      </c>
      <c r="B225" s="68">
        <v>15975</v>
      </c>
      <c r="C225" s="69">
        <f>C224</f>
        <v>10218.75</v>
      </c>
      <c r="D225" s="70">
        <f t="shared" si="3"/>
        <v>0.13027522935779817</v>
      </c>
      <c r="E225" s="65">
        <v>0.26</v>
      </c>
      <c r="F225" s="71">
        <f t="shared" si="4"/>
        <v>0.12972477064220184</v>
      </c>
    </row>
    <row r="226" spans="1:6" ht="14.25">
      <c r="A226" s="67" t="s">
        <v>24</v>
      </c>
      <c r="B226" s="68">
        <v>365335</v>
      </c>
      <c r="C226" s="69">
        <f>C224</f>
        <v>10218.75</v>
      </c>
      <c r="D226" s="70">
        <f t="shared" si="3"/>
        <v>2.9792864424057086</v>
      </c>
      <c r="E226" s="65">
        <v>1.5</v>
      </c>
      <c r="F226" s="71">
        <f t="shared" si="4"/>
        <v>-1.4792864424057086</v>
      </c>
    </row>
    <row r="227" spans="1:6" ht="14.25">
      <c r="A227" s="67" t="s">
        <v>25</v>
      </c>
      <c r="B227" s="68">
        <f>17680*1.01</f>
        <v>17856.8</v>
      </c>
      <c r="C227" s="69">
        <f>C226</f>
        <v>10218.75</v>
      </c>
      <c r="D227" s="70">
        <f t="shared" si="3"/>
        <v>0.14562120285423039</v>
      </c>
      <c r="E227" s="65">
        <v>0.16</v>
      </c>
      <c r="F227" s="71">
        <f t="shared" si="4"/>
        <v>0.014378797145769617</v>
      </c>
    </row>
    <row r="228" spans="1:6" ht="29.25" thickBot="1">
      <c r="A228" s="74" t="s">
        <v>135</v>
      </c>
      <c r="B228" s="75">
        <f>38267*1.01</f>
        <v>38649.67</v>
      </c>
      <c r="C228" s="76">
        <f>C227</f>
        <v>10218.75</v>
      </c>
      <c r="D228" s="77">
        <f t="shared" si="3"/>
        <v>0.3151858919469928</v>
      </c>
      <c r="E228" s="78">
        <v>0</v>
      </c>
      <c r="F228" s="79">
        <f t="shared" si="4"/>
        <v>-0.3151858919469928</v>
      </c>
    </row>
    <row r="229" spans="4:6" ht="15" thickBot="1">
      <c r="D229" s="80">
        <f>SUM(D220:D228)</f>
        <v>23.889319908812414</v>
      </c>
      <c r="E229" s="81">
        <f>SUM(E220:E228)</f>
        <v>21.42</v>
      </c>
      <c r="F229" s="82">
        <f>E229-D229</f>
        <v>-2.4693199088124125</v>
      </c>
    </row>
    <row r="230" ht="15" thickBot="1"/>
    <row r="231" spans="1:2" ht="15" thickBot="1">
      <c r="A231" s="82">
        <v>-29.64</v>
      </c>
      <c r="B231" s="83" t="s">
        <v>207</v>
      </c>
    </row>
    <row r="232" spans="1:2" ht="15" thickBot="1">
      <c r="A232" s="82">
        <v>-19.44</v>
      </c>
      <c r="B232" s="83" t="s">
        <v>208</v>
      </c>
    </row>
    <row r="234" ht="14.25">
      <c r="A234" t="s">
        <v>209</v>
      </c>
    </row>
    <row r="235" ht="14.25">
      <c r="A235" t="s">
        <v>210</v>
      </c>
    </row>
    <row r="241" ht="14.25">
      <c r="A241" t="s">
        <v>211</v>
      </c>
    </row>
    <row r="242" spans="1:5" ht="14.25">
      <c r="A242" t="s">
        <v>212</v>
      </c>
      <c r="E242" t="s">
        <v>213</v>
      </c>
    </row>
  </sheetData>
  <sheetProtection/>
  <mergeCells count="12">
    <mergeCell ref="A188:B188"/>
    <mergeCell ref="D63:D64"/>
    <mergeCell ref="E63:E64"/>
    <mergeCell ref="A184:B185"/>
    <mergeCell ref="C184:C185"/>
    <mergeCell ref="A1:D1"/>
    <mergeCell ref="A4:D4"/>
    <mergeCell ref="A6:D6"/>
    <mergeCell ref="A19:A21"/>
    <mergeCell ref="B19:B20"/>
    <mergeCell ref="C19:C20"/>
    <mergeCell ref="D19:D20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2011-11-03T05:58:44Z</dcterms:modified>
  <cp:category/>
  <cp:version/>
  <cp:contentType/>
  <cp:contentStatus/>
</cp:coreProperties>
</file>