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27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 учетом з/п операторов
</t>
        </r>
      </text>
    </comment>
  </commentList>
</comments>
</file>

<file path=xl/sharedStrings.xml><?xml version="1.0" encoding="utf-8"?>
<sst xmlns="http://schemas.openxmlformats.org/spreadsheetml/2006/main" count="390" uniqueCount="253">
  <si>
    <t xml:space="preserve">ООО "Образцовое содержание жилья" </t>
  </si>
  <si>
    <t>Жилой дом по ул. Рабочая, 85</t>
  </si>
  <si>
    <t>Отчет за 2009год.</t>
  </si>
  <si>
    <t>1. Сведения о доме: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</si>
  <si>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</si>
  <si>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</si>
  <si>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</si>
  <si>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2009г.</t>
  </si>
  <si>
    <t>с 1.01.09 по 28.02.09 - 2 мес.</t>
  </si>
  <si>
    <t>с 1.03.09 по 30.06.09г. - 4 мес.</t>
  </si>
  <si>
    <t>с 01.07.09г. по 31.12.09г. - 6 мес.</t>
  </si>
  <si>
    <t>Таким образом, средняя ставка коммунальных платежей в 2009году составила:</t>
  </si>
  <si>
    <t>Перечень коммунальных услуг</t>
  </si>
  <si>
    <t>Ставка с 1.01.09-28.02.09 г.</t>
  </si>
  <si>
    <t>Ставка с 1.03.09-01.05.09 г.</t>
  </si>
  <si>
    <t>Ставка с 1.05.09-31.12.09г</t>
  </si>
  <si>
    <t>Средняя ставка за 12 мес.</t>
  </si>
  <si>
    <t>Жилые помещения</t>
  </si>
  <si>
    <t xml:space="preserve">Жилые помещения </t>
  </si>
  <si>
    <t xml:space="preserve">Техническое обслуживание </t>
  </si>
  <si>
    <t xml:space="preserve">Вода+канализация </t>
  </si>
  <si>
    <t>Вывоз бытового мусора</t>
  </si>
  <si>
    <t>Газ и обслуживание котельной</t>
  </si>
  <si>
    <t>Обслуживание лифтов</t>
  </si>
  <si>
    <t>Электричество в МОП</t>
  </si>
  <si>
    <t>Текущий ремонт</t>
  </si>
  <si>
    <t>Вывоз крупногабаритного мусора и снега</t>
  </si>
  <si>
    <t>Обслуживание насосов</t>
  </si>
  <si>
    <t>Капитальный ремонт</t>
  </si>
  <si>
    <t>Итого:</t>
  </si>
  <si>
    <t>кроме того, в 2009г. с собственников взимались платежи:</t>
  </si>
  <si>
    <t>за домофон</t>
  </si>
  <si>
    <t>35 руб. за квартиру</t>
  </si>
  <si>
    <t>3. Доходы</t>
  </si>
  <si>
    <t>Начислено коммунальных платежей к уплате собственникам дома в 2009г.</t>
  </si>
  <si>
    <t>Оплачено собственниками дома в 2009г.</t>
  </si>
  <si>
    <t>4. Должники</t>
  </si>
  <si>
    <t>Долги собственников на начало 2009г.</t>
  </si>
  <si>
    <t>Долги собственников на конец 2009г.:</t>
  </si>
  <si>
    <t>в том числе крупные:</t>
  </si>
  <si>
    <t>Гусева Н.Г. (кв.9)</t>
  </si>
  <si>
    <t>Гусева Н.Г. (кв.10)</t>
  </si>
  <si>
    <t>Хохлов В.Н. (кв.61)</t>
  </si>
  <si>
    <t>Крюкова Т.А. (кв.106)</t>
  </si>
  <si>
    <t>Безгина Л.Н. (кв.155)</t>
  </si>
  <si>
    <t>Кроме того, есть собственники фактически проживающие в квартирах, но не заключившие договоры на обслуживание общего имущества в жилом доме и участие в расходах по его содержанию:</t>
  </si>
  <si>
    <t>Фамилия</t>
  </si>
  <si>
    <t>Задолженность</t>
  </si>
  <si>
    <t>1.Кошелева Н.Н.</t>
  </si>
  <si>
    <t>2.Кашлева И.А.</t>
  </si>
  <si>
    <t>3.Букатина М.В.</t>
  </si>
  <si>
    <t>4.Попова Г.В.</t>
  </si>
  <si>
    <t>5. Мероприятия, проведенные по должникам:</t>
  </si>
  <si>
    <r>
      <rPr>
        <b/>
        <sz val="11"/>
        <color indexed="8"/>
        <rFont val="Calibri"/>
        <family val="2"/>
      </rPr>
      <t>5.1.</t>
    </r>
    <r>
      <rPr>
        <sz val="11"/>
        <color indexed="8"/>
        <rFont val="Calibri"/>
        <family val="2"/>
      </rPr>
      <t xml:space="preserve"> Першин М.Н. (период с 01.10.05г. по 31.12.08г.) Ленинский районый суд вынес решение о взыскании</t>
    </r>
  </si>
  <si>
    <t xml:space="preserve">денежных средств за тех.обслуживание и коммунальные услуги в сумме 106 225 р. </t>
  </si>
  <si>
    <t>В настоящее время долг погашен.</t>
  </si>
  <si>
    <r>
      <t xml:space="preserve">5.2. </t>
    </r>
    <r>
      <rPr>
        <sz val="11"/>
        <color indexed="8"/>
        <rFont val="Calibri"/>
        <family val="2"/>
      </rPr>
      <t>Захаров А.Е. (период с 01.11.2005г. по 31.08.2009г.) Железнодорожный районый суд вынес решение</t>
    </r>
  </si>
  <si>
    <t>о взыскании с Захарова А.Е. денежных средств в сумме 106 986 р. В настоящее время</t>
  </si>
  <si>
    <t>исполнительный лист находится на исполнении в ОСП Железнодорожного района г.Самары</t>
  </si>
  <si>
    <r>
      <rPr>
        <b/>
        <sz val="11"/>
        <color indexed="8"/>
        <rFont val="Calibri"/>
        <family val="2"/>
      </rPr>
      <t>5.3.</t>
    </r>
    <r>
      <rPr>
        <sz val="11"/>
        <color indexed="8"/>
        <rFont val="Calibri"/>
        <family val="2"/>
      </rPr>
      <t xml:space="preserve"> Мировым судьей с/у №1 Самарской области вынесено решение о взыскании с Битюцкой Т.В.</t>
    </r>
  </si>
  <si>
    <t>задолженность по тех.обслуживанию и коммунальным услугам в сумме 47 624 р. Решение оставлено</t>
  </si>
  <si>
    <t>в силе кассационной инстанцией. В настоящее время исполнительный лист находится на исполнении в ОСП</t>
  </si>
  <si>
    <t>Железнодорожного района г.Самары.</t>
  </si>
  <si>
    <r>
      <t xml:space="preserve">5.4. </t>
    </r>
    <r>
      <rPr>
        <sz val="11"/>
        <color indexed="8"/>
        <rFont val="Calibri"/>
        <family val="2"/>
      </rPr>
      <t>В настоящее время подготовлены иски о взыскании задолженности с Кошелевой Н.Н., Кашлевой И.А.,</t>
    </r>
  </si>
  <si>
    <t>Букатиной М.В., Поповой Г.В.</t>
  </si>
  <si>
    <r>
      <t xml:space="preserve">5.5. </t>
    </r>
    <r>
      <rPr>
        <sz val="11"/>
        <color indexed="8"/>
        <rFont val="Calibri"/>
        <family val="2"/>
      </rPr>
      <t>В течении года проведено 3 рейда по отключению должников от электрической энергии.</t>
    </r>
  </si>
  <si>
    <t>6. Расходы:</t>
  </si>
  <si>
    <t>Газ+котельная</t>
  </si>
  <si>
    <t>счет-фактура</t>
  </si>
  <si>
    <t>сумма</t>
  </si>
  <si>
    <t>Январь</t>
  </si>
  <si>
    <t>№70 от 31.01.09</t>
  </si>
  <si>
    <t>Февраль</t>
  </si>
  <si>
    <t>№7249/09, №6636 от 28.02.09</t>
  </si>
  <si>
    <t>Март</t>
  </si>
  <si>
    <t>№7427/09, №9085 от 31.03.09</t>
  </si>
  <si>
    <t>Апрель</t>
  </si>
  <si>
    <t>№11052/09, №12292 от 30.04.09</t>
  </si>
  <si>
    <t>Май</t>
  </si>
  <si>
    <t>№14460/09, №14436 от 31.05.09</t>
  </si>
  <si>
    <t>Июнь</t>
  </si>
  <si>
    <t>№16416/09, №15840 от 30.06.09</t>
  </si>
  <si>
    <t>Июль</t>
  </si>
  <si>
    <t>№17812/09, №17073 от 31.07.09</t>
  </si>
  <si>
    <t>Август</t>
  </si>
  <si>
    <t>№19109/09, №18261 от 31.08.09</t>
  </si>
  <si>
    <t>Сентябрь</t>
  </si>
  <si>
    <t>№20467/09, №19487 от 30.09.09</t>
  </si>
  <si>
    <t>Октябрь</t>
  </si>
  <si>
    <t>№22011/09, №21872 от 31.10.09</t>
  </si>
  <si>
    <t>Ноябрь</t>
  </si>
  <si>
    <t>№25074/09, №24922 от 30.11.09</t>
  </si>
  <si>
    <t>Декабрь</t>
  </si>
  <si>
    <t>№28651/09, №28219 от 31.12.09</t>
  </si>
  <si>
    <t>итого</t>
  </si>
  <si>
    <t>итого с 1% (*)</t>
  </si>
  <si>
    <t>Обслуживание котельной (обслуживание КИП и газового оборудования)</t>
  </si>
  <si>
    <t>№6,№7 от 05.01.09</t>
  </si>
  <si>
    <t>№21,№517 от 02.02.09</t>
  </si>
  <si>
    <t xml:space="preserve">№50,№1124 от 02.03.09 </t>
  </si>
  <si>
    <t xml:space="preserve">№62,№2087 от 16.04.09 </t>
  </si>
  <si>
    <t>№85,№2293 от 05.05.09</t>
  </si>
  <si>
    <t xml:space="preserve">№108,№2705 от 01.01.09 </t>
  </si>
  <si>
    <t xml:space="preserve">№126,№3283 от 07.07.09 </t>
  </si>
  <si>
    <t xml:space="preserve">№145,№3626 от 06.08.09 </t>
  </si>
  <si>
    <t xml:space="preserve">№158,№3987 от 07.09.09 </t>
  </si>
  <si>
    <t xml:space="preserve">№181,№4259 от 02.10.09 </t>
  </si>
  <si>
    <t>№2671 от 19.10.09 (страхование котельной)</t>
  </si>
  <si>
    <t>№200 от 30.11.09</t>
  </si>
  <si>
    <t>№223 от 31.12.09</t>
  </si>
  <si>
    <t>з/п 4 операторов котельной-за год (з/п 1 оператора 5000 р.)</t>
  </si>
  <si>
    <t>материалы для котельной (масло)</t>
  </si>
  <si>
    <t>итого за газ+котельная</t>
  </si>
  <si>
    <t>З/п одного оператора котельной - (5000руб./0,87) + 14,2% = 6563руб. в мес.</t>
  </si>
  <si>
    <t>4 оператора* 6563 * 12 = 315072 руб. в год</t>
  </si>
  <si>
    <t xml:space="preserve">Отпускные - 18669 руб. </t>
  </si>
  <si>
    <t>Вода+канализация население</t>
  </si>
  <si>
    <t>№32/3651 от 23.01.09</t>
  </si>
  <si>
    <t>№32/9901 от 20.02.09</t>
  </si>
  <si>
    <t>№32/17809 от 26.03.09</t>
  </si>
  <si>
    <t>№32/24458 от 23.04.09</t>
  </si>
  <si>
    <t>№32/32931 от 28.05.09</t>
  </si>
  <si>
    <t>№32/37949 от 25.06.09</t>
  </si>
  <si>
    <t>№32/44264 от 22.07.09</t>
  </si>
  <si>
    <t>№32/53301 от 27.08.09</t>
  </si>
  <si>
    <t>№32/58482 от 22.09.09</t>
  </si>
  <si>
    <t>№32/66194 от  24.10.09</t>
  </si>
  <si>
    <t>№32/71711 от  23.11.09</t>
  </si>
  <si>
    <t>№32/82559 от 31.12.09</t>
  </si>
  <si>
    <t>Вода+канализация в офисах</t>
  </si>
  <si>
    <t>за год по счетам</t>
  </si>
  <si>
    <t xml:space="preserve">Эл./э в МОП </t>
  </si>
  <si>
    <t xml:space="preserve">Январь </t>
  </si>
  <si>
    <t xml:space="preserve">расчетным путем из-за  </t>
  </si>
  <si>
    <t>отсутствия счетчиков э/э</t>
  </si>
  <si>
    <t>№182 от 30.09.09</t>
  </si>
  <si>
    <t>№203 от 30.10.09</t>
  </si>
  <si>
    <t>№233,234,235 от 30.11.09</t>
  </si>
  <si>
    <t>№255,256,257 от 30.12.09</t>
  </si>
  <si>
    <t>Вывоз ТБО</t>
  </si>
  <si>
    <t>№2373 от 31.01.09</t>
  </si>
  <si>
    <t>№6749 от 28.02.09</t>
  </si>
  <si>
    <t>№17833 от 31.03.09</t>
  </si>
  <si>
    <t>№22785 от 30.04.09</t>
  </si>
  <si>
    <t>№27194 от 31.05.09</t>
  </si>
  <si>
    <t>№31478 от 30.06.09</t>
  </si>
  <si>
    <t>№21 от 01.06.09 (дератизация)</t>
  </si>
  <si>
    <t>№36270 от 31.07.09</t>
  </si>
  <si>
    <t>№39784 от 31.08.09</t>
  </si>
  <si>
    <t>№43354 от 30.09.09</t>
  </si>
  <si>
    <t>№48970 от  31.10.09</t>
  </si>
  <si>
    <t>№52500 от 23.11.09</t>
  </si>
  <si>
    <t>№56023 от 31.12.09</t>
  </si>
  <si>
    <t>№1 от 12.01.09</t>
  </si>
  <si>
    <t>№3 от 12.01.09</t>
  </si>
  <si>
    <t>№4 от 04.02.09 (вывоз елок)</t>
  </si>
  <si>
    <t>№96 от 14.08.09</t>
  </si>
  <si>
    <t>№128 от 14.10.09</t>
  </si>
  <si>
    <t>№162 от 31.12.09 (вывоз снега)</t>
  </si>
  <si>
    <t xml:space="preserve">итого </t>
  </si>
  <si>
    <t>Обслуживание лифта</t>
  </si>
  <si>
    <t>№5 от 31.01.09</t>
  </si>
  <si>
    <t>№50 от 28.02.09</t>
  </si>
  <si>
    <t>№102 от 31.03.09</t>
  </si>
  <si>
    <t>№158 от 30.04.09</t>
  </si>
  <si>
    <t>№212 от 31.05.09</t>
  </si>
  <si>
    <t>№272 от 30.06.09</t>
  </si>
  <si>
    <t>№333 от 31.07.09</t>
  </si>
  <si>
    <t>№402 от 31.08.09</t>
  </si>
  <si>
    <t>№468 от 30.09.09</t>
  </si>
  <si>
    <t>№538 от 31.10.09</t>
  </si>
  <si>
    <t>№600 от 30.11.09</t>
  </si>
  <si>
    <t>№2905 от 12.11.09 (страхование лифтов)</t>
  </si>
  <si>
    <t>№662 от 31.12.09</t>
  </si>
  <si>
    <t xml:space="preserve">Текущий ремонт </t>
  </si>
  <si>
    <t xml:space="preserve">Май №928 от 18.05.09 установка корректора ЕК-260 </t>
  </si>
  <si>
    <t>Октябрь 21.10.2009 ремонт стояков</t>
  </si>
  <si>
    <t>Июль №24 от 31.07.09 ремонт лифтовых</t>
  </si>
  <si>
    <t>Замена вентилей на бойлерах на шаровые краны</t>
  </si>
  <si>
    <t xml:space="preserve">Капитальный ремонт </t>
  </si>
  <si>
    <t>Июль №55 от 27.07.09 подключ. дома к пост. энергоснаб.</t>
  </si>
  <si>
    <t>Приобретение общих счетчиков для учета э/энергии</t>
  </si>
  <si>
    <t>Декабрь от 24.12.09 ремонт  горелок</t>
  </si>
  <si>
    <t>Ноябрь №34 от 30.11.09 услуги по техническому отчету, режимные карты</t>
  </si>
  <si>
    <t>Сентябрь №26 от 25.09.09 чистка котла</t>
  </si>
  <si>
    <t>Пуско-наладка котлового оборудования с заменой элементов</t>
  </si>
  <si>
    <t>Охрана ТП</t>
  </si>
  <si>
    <t>№404 от 31.01.09</t>
  </si>
  <si>
    <t>№954 от 28.02.09</t>
  </si>
  <si>
    <t>№1527 от 31.03.09</t>
  </si>
  <si>
    <t>№7-75 от 30.04.09</t>
  </si>
  <si>
    <t>№19-73 от 31.05.09</t>
  </si>
  <si>
    <t>№31-66 от 30.06.09</t>
  </si>
  <si>
    <t>№43-65 от 31.07.09</t>
  </si>
  <si>
    <t>№55-59 от 31.08.09</t>
  </si>
  <si>
    <t>№68-58 от 30.09.09</t>
  </si>
  <si>
    <t>№83-55 от 31.10.09</t>
  </si>
  <si>
    <t>№98-43 от 30.11.09</t>
  </si>
  <si>
    <t>№114-28 от 31.12.09</t>
  </si>
  <si>
    <t>Услуги тех.обслуживания ТП</t>
  </si>
  <si>
    <t>№1313 от 31.01.09</t>
  </si>
  <si>
    <t>№3064 от 28.02.09</t>
  </si>
  <si>
    <t>№5040 от 31.03.09</t>
  </si>
  <si>
    <t>№22-43 от 30.04.09</t>
  </si>
  <si>
    <t>№52-42 от 31.05.09</t>
  </si>
  <si>
    <t>№84-40 от 30.06.09</t>
  </si>
  <si>
    <t>№116-38 от 31.07.09</t>
  </si>
  <si>
    <t>№147-37 от 31.08.09</t>
  </si>
  <si>
    <t>№178-35 от 30.09.09</t>
  </si>
  <si>
    <t>№210-35 от 30.10.09</t>
  </si>
  <si>
    <t>№246-33 от 30.11.09</t>
  </si>
  <si>
    <t>№279-32 от 30.12.09</t>
  </si>
  <si>
    <t>Домофон (в год)</t>
  </si>
  <si>
    <t>Итого с 1% (*)</t>
  </si>
  <si>
    <t>Итого расходов:</t>
  </si>
  <si>
    <t>оставшаяся часть средств направлена на перерасчет платежей</t>
  </si>
  <si>
    <t>и техническое обслужиание.</t>
  </si>
  <si>
    <t>За счет ставки технического обслуживания оплачиваются расходы по з/п уборщиц, дворников,</t>
  </si>
  <si>
    <t>инженера, сантехника, электрика, разнорабочего, аварийной службы, бухгалтера, юриста, кассира,</t>
  </si>
  <si>
    <t>садовника. Расходные материалы: тряпки, ведра, лопаты, лампочки, кабели, трубы для ремонта,</t>
  </si>
  <si>
    <t xml:space="preserve">инструменты слесарю и электрику, канцтовары, посадочный материал, содержание офиса </t>
  </si>
  <si>
    <t xml:space="preserve">коммунальной службы, уплату госпошлин, ежегодная аттестация специалистов, незначительный ремонт </t>
  </si>
  <si>
    <t>общего имущества.</t>
  </si>
  <si>
    <r>
      <rPr>
        <b/>
        <sz val="12"/>
        <color indexed="8"/>
        <rFont val="Calibri"/>
        <family val="2"/>
      </rPr>
      <t>(*)</t>
    </r>
    <r>
      <rPr>
        <sz val="11"/>
        <color indexed="8"/>
        <rFont val="Calibri"/>
        <family val="2"/>
      </rPr>
      <t>Согласно Постановления президиума Высшего Арбитражного суда РФ №12611/07 от 01.04.08г.</t>
    </r>
  </si>
  <si>
    <t xml:space="preserve">и разъяснений Минфина РФ №03-11-04/2/90 от 06.06.08г. все поступления от предоставленных </t>
  </si>
  <si>
    <t xml:space="preserve">коммунальных услуг собственникам, которые ТСЖ (управляющие компании) сами не производят, </t>
  </si>
  <si>
    <t>а покупают у специализированных организаций (например: поставка тепла, воды, э/э, вывоз ТБО</t>
  </si>
  <si>
    <t xml:space="preserve">и т.д.) все равно являются доходом ТСЖ (управл. компании) и как выручка подлежат налогообложению; </t>
  </si>
  <si>
    <t xml:space="preserve">в нашем случае - минимальным налогом в размере 1%. Таким образом, стоимость коммунальных услуг, </t>
  </si>
  <si>
    <t xml:space="preserve">приобретенных у специализированных организаций, увеличивается на 1%. При перерасчете сумма </t>
  </si>
  <si>
    <t xml:space="preserve">расходов по статьям затрат сразу указана увеличенной на 1%, который управляющая компания </t>
  </si>
  <si>
    <t>перечисляет в виде минимального налога в бюджет.</t>
  </si>
  <si>
    <t>7. Перерасчет за 2009год.</t>
  </si>
  <si>
    <t>Статьи затрат</t>
  </si>
  <si>
    <t>Стоимость фактических расходов в 2009г.</t>
  </si>
  <si>
    <t>метры</t>
  </si>
  <si>
    <t>ставка-факт.</t>
  </si>
  <si>
    <t>ставка-план</t>
  </si>
  <si>
    <t>пересчет за 1 кв.м. в мес.</t>
  </si>
  <si>
    <t>Вода+канализация</t>
  </si>
  <si>
    <t>Тепло - газ+котельная</t>
  </si>
  <si>
    <t xml:space="preserve">Эл/э в МОП </t>
  </si>
  <si>
    <t>Вывоз крупногабаритного мусора и снега.</t>
  </si>
  <si>
    <t>Охрана и обслуживание ТП</t>
  </si>
  <si>
    <t>к возврату с 1 метра за год (без счетчиков воды)</t>
  </si>
  <si>
    <t>к возврату с 1 метра за год (имеющим счетчики воды)</t>
  </si>
  <si>
    <t>1) Для расчета ставки вода+канализация взяты кв.метры помещений без счетчиков ХВС и ГВС</t>
  </si>
  <si>
    <t>и без кв.метров помещений, по которым уже произведены перерасчеты.</t>
  </si>
  <si>
    <t xml:space="preserve">Для расчета теплоснабжения учитывается только площадь отапливаемых помещений. </t>
  </si>
  <si>
    <t>2) Для расчета ставки обслуживания газового хоз-ва учитываютя только кв.метры жилых помещений.</t>
  </si>
  <si>
    <t xml:space="preserve">Директор </t>
  </si>
  <si>
    <t>ООО "Образцовое содержание жилья"</t>
  </si>
  <si>
    <t>Ольшанский Л.С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</si>
</sst>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0" fontId="1" fillId="0" borderId="16" xfId="0" applyFont="1" applyFill="1" applyBorder="1" applyAlignment="1">
      <alignment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1" xfId="0" applyFill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164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14" fontId="0" fillId="0" borderId="11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14" fontId="0" fillId="0" borderId="11" xfId="0" applyNumberForma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8" xfId="0" applyBorder="1" applyAlignment="1">
      <alignment wrapText="1"/>
    </xf>
    <xf numFmtId="2" fontId="0" fillId="0" borderId="29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4" fontId="0" fillId="0" borderId="30" xfId="0" applyNumberForma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7"/>
  <sheetViews>
    <sheetView tabSelected="1" zoomScalePageLayoutView="0" workbookViewId="0" topLeftCell="A1">
      <selection activeCell="H280" sqref="H280"/>
    </sheetView>
  </sheetViews>
  <sheetFormatPr defaultColWidth="9.140625" defaultRowHeight="15"/>
  <cols>
    <col min="1" max="1" width="29.421875" style="0" customWidth="1"/>
    <col min="2" max="2" width="31.57421875" style="0" customWidth="1"/>
    <col min="3" max="4" width="11.8515625" style="0" customWidth="1"/>
    <col min="5" max="5" width="7.57421875" style="0" customWidth="1"/>
    <col min="6" max="6" width="6.421875" style="0" customWidth="1"/>
  </cols>
  <sheetData>
    <row r="1" spans="1:6" ht="18.75">
      <c r="A1" s="100" t="s">
        <v>0</v>
      </c>
      <c r="B1" s="100"/>
      <c r="C1" s="100"/>
      <c r="D1" s="100"/>
      <c r="F1" s="1"/>
    </row>
    <row r="2" spans="1:4" ht="15">
      <c r="A2" s="2"/>
      <c r="B2" s="2"/>
      <c r="C2" s="2"/>
      <c r="D2" s="2"/>
    </row>
    <row r="3" spans="1:4" ht="17.25">
      <c r="A3" s="101" t="s">
        <v>1</v>
      </c>
      <c r="B3" s="101"/>
      <c r="C3" s="101"/>
      <c r="D3" s="101"/>
    </row>
    <row r="5" spans="1:4" ht="17.25">
      <c r="A5" s="101" t="s">
        <v>2</v>
      </c>
      <c r="B5" s="101"/>
      <c r="C5" s="101"/>
      <c r="D5" s="101"/>
    </row>
    <row r="7" spans="1:2" ht="18.75">
      <c r="A7" s="3" t="s">
        <v>3</v>
      </c>
      <c r="B7" s="4"/>
    </row>
    <row r="9" spans="1:3" ht="15">
      <c r="A9" s="5" t="s">
        <v>4</v>
      </c>
      <c r="B9" s="6">
        <v>14413.92</v>
      </c>
      <c r="C9" s="7"/>
    </row>
    <row r="10" spans="1:3" ht="15.75" thickBot="1">
      <c r="A10" s="8" t="s">
        <v>5</v>
      </c>
      <c r="B10" s="9">
        <v>3593.06</v>
      </c>
      <c r="C10" s="7"/>
    </row>
    <row r="11" spans="1:3" ht="15.75" thickBot="1">
      <c r="A11" s="10" t="s">
        <v>6</v>
      </c>
      <c r="B11" s="11">
        <f>SUM(B9:B10)</f>
        <v>18006.98</v>
      </c>
      <c r="C11" s="7"/>
    </row>
    <row r="13" spans="1:3" ht="18.75">
      <c r="A13" s="3" t="s">
        <v>7</v>
      </c>
      <c r="B13" s="3"/>
      <c r="C13" s="12"/>
    </row>
    <row r="15" spans="1:3" ht="15">
      <c r="A15" t="s">
        <v>8</v>
      </c>
      <c r="B15" t="s">
        <v>9</v>
      </c>
      <c r="C15" t="s">
        <v>10</v>
      </c>
    </row>
    <row r="16" ht="15">
      <c r="A16" t="s">
        <v>11</v>
      </c>
    </row>
    <row r="18" spans="1:5" ht="15">
      <c r="A18" s="102" t="s">
        <v>12</v>
      </c>
      <c r="B18" s="103" t="s">
        <v>13</v>
      </c>
      <c r="C18" s="102" t="s">
        <v>14</v>
      </c>
      <c r="D18" s="102" t="s">
        <v>15</v>
      </c>
      <c r="E18" s="96" t="s">
        <v>16</v>
      </c>
    </row>
    <row r="19" spans="1:5" ht="15">
      <c r="A19" s="102"/>
      <c r="B19" s="103"/>
      <c r="C19" s="102"/>
      <c r="D19" s="102"/>
      <c r="E19" s="96"/>
    </row>
    <row r="20" spans="1:5" ht="60">
      <c r="A20" s="102"/>
      <c r="B20" s="13" t="s">
        <v>17</v>
      </c>
      <c r="C20" s="14" t="s">
        <v>17</v>
      </c>
      <c r="D20" s="14" t="s">
        <v>18</v>
      </c>
      <c r="E20" s="14" t="s">
        <v>18</v>
      </c>
    </row>
    <row r="21" spans="1:5" ht="30">
      <c r="A21" s="15" t="s">
        <v>19</v>
      </c>
      <c r="B21" s="16">
        <v>14.6</v>
      </c>
      <c r="C21" s="17">
        <v>13.6</v>
      </c>
      <c r="D21" s="16">
        <v>13.6</v>
      </c>
      <c r="E21" s="16">
        <f>((B21*2)+(C21*4)+(D21*6))/12</f>
        <v>13.766666666666666</v>
      </c>
    </row>
    <row r="22" spans="1:5" ht="15">
      <c r="A22" s="18" t="s">
        <v>20</v>
      </c>
      <c r="B22" s="19">
        <v>1.96</v>
      </c>
      <c r="C22" s="19">
        <v>2</v>
      </c>
      <c r="D22" s="19">
        <v>2</v>
      </c>
      <c r="E22" s="16">
        <f aca="true" t="shared" si="0" ref="E22:E30">((B22*2)+(C22*4)+(D22*6))/12</f>
        <v>1.9933333333333334</v>
      </c>
    </row>
    <row r="23" spans="1:5" ht="15">
      <c r="A23" s="18" t="s">
        <v>21</v>
      </c>
      <c r="B23" s="19">
        <v>0.82</v>
      </c>
      <c r="C23" s="19">
        <v>0.86</v>
      </c>
      <c r="D23" s="19">
        <v>0.86</v>
      </c>
      <c r="E23" s="16">
        <f t="shared" si="0"/>
        <v>0.8533333333333334</v>
      </c>
    </row>
    <row r="24" spans="1:5" ht="15">
      <c r="A24" s="18" t="s">
        <v>22</v>
      </c>
      <c r="B24" s="19">
        <v>10.52</v>
      </c>
      <c r="C24" s="19">
        <v>9.5</v>
      </c>
      <c r="D24" s="19">
        <v>9.5</v>
      </c>
      <c r="E24" s="16">
        <f t="shared" si="0"/>
        <v>9.67</v>
      </c>
    </row>
    <row r="25" spans="1:5" ht="15">
      <c r="A25" s="18" t="s">
        <v>23</v>
      </c>
      <c r="B25" s="19">
        <v>1.38</v>
      </c>
      <c r="C25" s="19">
        <v>1.27</v>
      </c>
      <c r="D25" s="19">
        <v>1.27</v>
      </c>
      <c r="E25" s="16">
        <f t="shared" si="0"/>
        <v>1.2883333333333333</v>
      </c>
    </row>
    <row r="26" spans="1:5" ht="15">
      <c r="A26" s="18" t="s">
        <v>24</v>
      </c>
      <c r="B26" s="19">
        <v>1.67</v>
      </c>
      <c r="C26" s="19">
        <v>1.75</v>
      </c>
      <c r="D26" s="19">
        <v>1.75</v>
      </c>
      <c r="E26" s="16">
        <f t="shared" si="0"/>
        <v>1.7366666666666666</v>
      </c>
    </row>
    <row r="27" spans="1:5" ht="15">
      <c r="A27" s="18" t="s">
        <v>25</v>
      </c>
      <c r="B27" s="19">
        <v>1</v>
      </c>
      <c r="C27" s="19">
        <v>1</v>
      </c>
      <c r="D27" s="19">
        <v>1</v>
      </c>
      <c r="E27" s="16">
        <f t="shared" si="0"/>
        <v>1</v>
      </c>
    </row>
    <row r="28" spans="1:5" ht="30">
      <c r="A28" s="20" t="s">
        <v>26</v>
      </c>
      <c r="B28" s="16">
        <v>1.14</v>
      </c>
      <c r="C28" s="16">
        <v>0.6</v>
      </c>
      <c r="D28" s="16">
        <v>0.6</v>
      </c>
      <c r="E28" s="16">
        <f t="shared" si="0"/>
        <v>0.69</v>
      </c>
    </row>
    <row r="29" spans="1:5" ht="15">
      <c r="A29" s="18" t="s">
        <v>27</v>
      </c>
      <c r="B29" s="19">
        <v>0.68</v>
      </c>
      <c r="C29" s="19">
        <v>0</v>
      </c>
      <c r="D29" s="19">
        <v>0</v>
      </c>
      <c r="E29" s="16">
        <f t="shared" si="0"/>
        <v>0.11333333333333334</v>
      </c>
    </row>
    <row r="30" spans="1:5" ht="15.75" thickBot="1">
      <c r="A30" s="21" t="s">
        <v>28</v>
      </c>
      <c r="B30" s="22">
        <v>0</v>
      </c>
      <c r="C30" s="22">
        <v>0</v>
      </c>
      <c r="D30" s="22">
        <v>6.48</v>
      </c>
      <c r="E30" s="16">
        <f t="shared" si="0"/>
        <v>3.24</v>
      </c>
    </row>
    <row r="31" spans="1:5" ht="15.75" thickBot="1">
      <c r="A31" s="23" t="s">
        <v>29</v>
      </c>
      <c r="B31" s="24">
        <v>33.78</v>
      </c>
      <c r="C31" s="24">
        <f>SUM(C21:C30)</f>
        <v>30.580000000000002</v>
      </c>
      <c r="D31" s="24">
        <f>SUM(D21:D30)</f>
        <v>37.06</v>
      </c>
      <c r="E31" s="25">
        <f>SUM(E21:E30)</f>
        <v>34.35166666666667</v>
      </c>
    </row>
    <row r="32" spans="1:4" ht="15">
      <c r="A32" s="26"/>
      <c r="B32" s="27"/>
      <c r="C32" s="27"/>
      <c r="D32" s="27"/>
    </row>
    <row r="33" ht="15">
      <c r="A33" t="s">
        <v>30</v>
      </c>
    </row>
    <row r="34" spans="1:2" ht="15">
      <c r="A34" s="18" t="s">
        <v>31</v>
      </c>
      <c r="B34" s="18" t="s">
        <v>32</v>
      </c>
    </row>
    <row r="36" ht="18.75">
      <c r="A36" s="3" t="s">
        <v>33</v>
      </c>
    </row>
    <row r="38" spans="1:2" ht="60">
      <c r="A38" s="20" t="s">
        <v>34</v>
      </c>
      <c r="B38" s="28">
        <v>7452355.48</v>
      </c>
    </row>
    <row r="39" spans="1:2" ht="30">
      <c r="A39" s="20" t="s">
        <v>35</v>
      </c>
      <c r="B39" s="28">
        <v>7365966.93</v>
      </c>
    </row>
    <row r="40" spans="1:2" ht="15">
      <c r="A40" s="26"/>
      <c r="B40" s="29"/>
    </row>
    <row r="41" spans="1:2" ht="18.75">
      <c r="A41" s="3" t="s">
        <v>36</v>
      </c>
      <c r="B41" s="30"/>
    </row>
    <row r="42" ht="15">
      <c r="B42" s="30"/>
    </row>
    <row r="43" spans="1:2" ht="30">
      <c r="A43" s="20" t="s">
        <v>37</v>
      </c>
      <c r="B43" s="31">
        <v>1113816.84</v>
      </c>
    </row>
    <row r="44" spans="1:2" ht="30">
      <c r="A44" s="20" t="s">
        <v>38</v>
      </c>
      <c r="B44" s="31">
        <v>1213894.73</v>
      </c>
    </row>
    <row r="45" spans="1:2" ht="15">
      <c r="A45" s="18" t="s">
        <v>39</v>
      </c>
      <c r="B45" s="31"/>
    </row>
    <row r="46" spans="1:2" ht="15">
      <c r="A46" s="18" t="s">
        <v>40</v>
      </c>
      <c r="B46" s="31">
        <v>61331.37</v>
      </c>
    </row>
    <row r="47" spans="1:2" ht="15">
      <c r="A47" s="18" t="s">
        <v>41</v>
      </c>
      <c r="B47" s="31">
        <v>32202.76</v>
      </c>
    </row>
    <row r="48" spans="1:2" ht="15">
      <c r="A48" s="18" t="s">
        <v>42</v>
      </c>
      <c r="B48" s="31">
        <v>29114.52</v>
      </c>
    </row>
    <row r="49" spans="1:2" ht="15">
      <c r="A49" s="20" t="s">
        <v>43</v>
      </c>
      <c r="B49" s="31">
        <v>47903.43</v>
      </c>
    </row>
    <row r="50" spans="1:2" ht="15">
      <c r="A50" s="20" t="s">
        <v>44</v>
      </c>
      <c r="B50" s="31">
        <v>36133</v>
      </c>
    </row>
    <row r="51" spans="1:2" ht="15">
      <c r="A51" s="32"/>
      <c r="B51" s="32"/>
    </row>
    <row r="52" spans="1:4" ht="15">
      <c r="A52" s="97" t="s">
        <v>45</v>
      </c>
      <c r="B52" s="97"/>
      <c r="C52" s="97"/>
      <c r="D52" s="97"/>
    </row>
    <row r="53" spans="1:2" ht="15">
      <c r="A53" s="33" t="s">
        <v>46</v>
      </c>
      <c r="B53" s="34" t="s">
        <v>47</v>
      </c>
    </row>
    <row r="54" spans="1:2" ht="15">
      <c r="A54" s="18" t="s">
        <v>48</v>
      </c>
      <c r="B54" s="31">
        <v>131217.52</v>
      </c>
    </row>
    <row r="55" spans="1:2" ht="15">
      <c r="A55" s="18" t="s">
        <v>49</v>
      </c>
      <c r="B55" s="31">
        <v>118392.01</v>
      </c>
    </row>
    <row r="56" spans="1:2" ht="15">
      <c r="A56" s="18" t="s">
        <v>50</v>
      </c>
      <c r="B56" s="31">
        <v>149281.11</v>
      </c>
    </row>
    <row r="57" spans="1:2" ht="15">
      <c r="A57" s="18" t="s">
        <v>51</v>
      </c>
      <c r="B57" s="31">
        <v>54571.84</v>
      </c>
    </row>
    <row r="58" ht="15">
      <c r="A58" s="26"/>
    </row>
    <row r="59" spans="1:3" ht="18.75">
      <c r="A59" s="35" t="s">
        <v>52</v>
      </c>
      <c r="B59" s="35"/>
      <c r="C59" s="7"/>
    </row>
    <row r="60" spans="1:3" ht="18.75">
      <c r="A60" s="7" t="s">
        <v>53</v>
      </c>
      <c r="B60" s="35"/>
      <c r="C60" s="7"/>
    </row>
    <row r="61" spans="1:3" ht="18.75">
      <c r="A61" s="7" t="s">
        <v>54</v>
      </c>
      <c r="B61" s="35"/>
      <c r="C61" s="7"/>
    </row>
    <row r="62" spans="1:3" ht="18.75">
      <c r="A62" s="36" t="s">
        <v>55</v>
      </c>
      <c r="B62" s="35"/>
      <c r="C62" s="7"/>
    </row>
    <row r="63" spans="1:3" ht="18.75">
      <c r="A63" s="37" t="s">
        <v>56</v>
      </c>
      <c r="B63" s="35"/>
      <c r="C63" s="7"/>
    </row>
    <row r="64" spans="1:4" ht="18.75">
      <c r="A64" s="38" t="s">
        <v>57</v>
      </c>
      <c r="B64" s="39"/>
      <c r="C64" s="38"/>
      <c r="D64" s="40"/>
    </row>
    <row r="65" spans="1:4" ht="18.75">
      <c r="A65" s="38" t="s">
        <v>58</v>
      </c>
      <c r="B65" s="39"/>
      <c r="C65" s="38"/>
      <c r="D65" s="40"/>
    </row>
    <row r="66" spans="1:5" ht="18.75">
      <c r="A66" s="7" t="s">
        <v>59</v>
      </c>
      <c r="B66" s="39"/>
      <c r="C66" s="38"/>
      <c r="D66" s="40"/>
      <c r="E66" s="40"/>
    </row>
    <row r="67" spans="1:4" ht="18.75">
      <c r="A67" s="36" t="s">
        <v>60</v>
      </c>
      <c r="B67" s="39"/>
      <c r="C67" s="38"/>
      <c r="D67" s="40"/>
    </row>
    <row r="68" spans="1:4" ht="18.75">
      <c r="A68" s="36" t="s">
        <v>61</v>
      </c>
      <c r="B68" s="39"/>
      <c r="C68" s="38"/>
      <c r="D68" s="40"/>
    </row>
    <row r="69" spans="1:4" ht="18.75">
      <c r="A69" s="36" t="s">
        <v>62</v>
      </c>
      <c r="B69" s="39"/>
      <c r="C69" s="38"/>
      <c r="D69" s="40"/>
    </row>
    <row r="70" spans="1:4" ht="18.75">
      <c r="A70" s="41" t="s">
        <v>63</v>
      </c>
      <c r="B70" s="39"/>
      <c r="C70" s="38"/>
      <c r="D70" s="40"/>
    </row>
    <row r="71" spans="1:4" ht="18.75">
      <c r="A71" s="36" t="s">
        <v>64</v>
      </c>
      <c r="B71" s="39"/>
      <c r="C71" s="38"/>
      <c r="D71" s="40"/>
    </row>
    <row r="72" spans="1:4" ht="18.75">
      <c r="A72" s="41" t="s">
        <v>65</v>
      </c>
      <c r="B72" s="39"/>
      <c r="C72" s="38"/>
      <c r="D72" s="40"/>
    </row>
    <row r="74" ht="18.75">
      <c r="A74" s="3" t="s">
        <v>66</v>
      </c>
    </row>
    <row r="75" spans="1:3" ht="15.75">
      <c r="A75" s="42" t="s">
        <v>67</v>
      </c>
      <c r="B75" s="43" t="s">
        <v>68</v>
      </c>
      <c r="C75" s="44" t="s">
        <v>69</v>
      </c>
    </row>
    <row r="76" spans="1:3" ht="15">
      <c r="A76" s="18" t="s">
        <v>70</v>
      </c>
      <c r="B76" s="18" t="s">
        <v>71</v>
      </c>
      <c r="C76" s="31">
        <v>165658.98</v>
      </c>
    </row>
    <row r="77" spans="1:3" ht="15">
      <c r="A77" s="18" t="s">
        <v>72</v>
      </c>
      <c r="B77" s="18" t="s">
        <v>73</v>
      </c>
      <c r="C77" s="31">
        <f>117752.91+31432.46</f>
        <v>149185.37</v>
      </c>
    </row>
    <row r="78" spans="1:3" ht="15">
      <c r="A78" s="18" t="s">
        <v>74</v>
      </c>
      <c r="B78" s="18" t="s">
        <v>75</v>
      </c>
      <c r="C78" s="31">
        <f>111576.18+29841.1</f>
        <v>141417.28</v>
      </c>
    </row>
    <row r="79" spans="1:3" ht="15">
      <c r="A79" s="18" t="s">
        <v>76</v>
      </c>
      <c r="B79" s="18" t="s">
        <v>77</v>
      </c>
      <c r="C79" s="31">
        <f>113052.6+28205.63</f>
        <v>141258.23</v>
      </c>
    </row>
    <row r="80" spans="1:3" ht="15">
      <c r="A80" s="18" t="s">
        <v>78</v>
      </c>
      <c r="B80" s="18" t="s">
        <v>79</v>
      </c>
      <c r="C80" s="31">
        <f>55742.44+13234.96</f>
        <v>68977.4</v>
      </c>
    </row>
    <row r="81" spans="1:3" ht="15">
      <c r="A81" s="18" t="s">
        <v>80</v>
      </c>
      <c r="B81" s="18" t="s">
        <v>81</v>
      </c>
      <c r="C81" s="31">
        <f>27211.6+6277.21</f>
        <v>33488.81</v>
      </c>
    </row>
    <row r="82" spans="1:3" ht="15">
      <c r="A82" s="18" t="s">
        <v>82</v>
      </c>
      <c r="B82" s="18" t="s">
        <v>83</v>
      </c>
      <c r="C82" s="31">
        <f>21508.62+4613.1</f>
        <v>26121.72</v>
      </c>
    </row>
    <row r="83" spans="1:3" ht="15">
      <c r="A83" s="18" t="s">
        <v>84</v>
      </c>
      <c r="B83" s="18" t="s">
        <v>85</v>
      </c>
      <c r="C83" s="31">
        <f>19816.01+4297.47</f>
        <v>24113.48</v>
      </c>
    </row>
    <row r="84" spans="1:3" ht="15">
      <c r="A84" s="18" t="s">
        <v>86</v>
      </c>
      <c r="B84" s="18" t="s">
        <v>87</v>
      </c>
      <c r="C84" s="31">
        <f>24416.62+5455.19</f>
        <v>29871.809999999998</v>
      </c>
    </row>
    <row r="85" spans="1:3" ht="15">
      <c r="A85" s="18" t="s">
        <v>88</v>
      </c>
      <c r="B85" s="18" t="s">
        <v>89</v>
      </c>
      <c r="C85" s="31">
        <f>41367.45+9022.85</f>
        <v>50390.299999999996</v>
      </c>
    </row>
    <row r="86" spans="1:3" ht="15">
      <c r="A86" s="18" t="s">
        <v>90</v>
      </c>
      <c r="B86" s="18" t="s">
        <v>91</v>
      </c>
      <c r="C86" s="31">
        <f>127152.83+28142.04</f>
        <v>155294.87</v>
      </c>
    </row>
    <row r="87" spans="1:3" ht="15">
      <c r="A87" s="18" t="s">
        <v>92</v>
      </c>
      <c r="B87" s="18" t="s">
        <v>93</v>
      </c>
      <c r="C87" s="31">
        <f>168166.97+37228.48</f>
        <v>205395.45</v>
      </c>
    </row>
    <row r="88" spans="1:3" ht="15">
      <c r="A88" s="45" t="s">
        <v>94</v>
      </c>
      <c r="B88" s="18"/>
      <c r="C88" s="28">
        <f>SUM(C75:C87)</f>
        <v>1191173.7000000002</v>
      </c>
    </row>
    <row r="89" spans="1:3" ht="15">
      <c r="A89" s="45" t="s">
        <v>95</v>
      </c>
      <c r="B89" s="18"/>
      <c r="C89" s="28">
        <f>C88*1.01</f>
        <v>1203085.4370000002</v>
      </c>
    </row>
    <row r="90" spans="1:3" ht="15">
      <c r="A90" s="37"/>
      <c r="B90" s="7"/>
      <c r="C90" s="29"/>
    </row>
    <row r="91" spans="1:3" ht="15.75">
      <c r="A91" s="42" t="s">
        <v>96</v>
      </c>
      <c r="B91" s="18"/>
      <c r="C91" s="31"/>
    </row>
    <row r="92" spans="1:3" ht="15">
      <c r="A92" s="18" t="s">
        <v>70</v>
      </c>
      <c r="B92" s="18" t="s">
        <v>97</v>
      </c>
      <c r="C92" s="31">
        <f>10400+3925.85</f>
        <v>14325.85</v>
      </c>
    </row>
    <row r="93" spans="1:3" ht="15">
      <c r="A93" s="18" t="s">
        <v>72</v>
      </c>
      <c r="B93" s="18" t="s">
        <v>98</v>
      </c>
      <c r="C93" s="31">
        <f>10450+3925.85</f>
        <v>14375.85</v>
      </c>
    </row>
    <row r="94" spans="1:3" ht="15">
      <c r="A94" s="18" t="s">
        <v>74</v>
      </c>
      <c r="B94" s="18" t="s">
        <v>99</v>
      </c>
      <c r="C94" s="31">
        <f aca="true" t="shared" si="1" ref="C94:C101">10450+3925.85</f>
        <v>14375.85</v>
      </c>
    </row>
    <row r="95" spans="1:3" ht="15">
      <c r="A95" s="18" t="s">
        <v>76</v>
      </c>
      <c r="B95" s="18" t="s">
        <v>100</v>
      </c>
      <c r="C95" s="31">
        <f t="shared" si="1"/>
        <v>14375.85</v>
      </c>
    </row>
    <row r="96" spans="1:3" ht="15">
      <c r="A96" s="18" t="s">
        <v>78</v>
      </c>
      <c r="B96" s="18" t="s">
        <v>101</v>
      </c>
      <c r="C96" s="31">
        <f t="shared" si="1"/>
        <v>14375.85</v>
      </c>
    </row>
    <row r="97" spans="1:3" ht="15">
      <c r="A97" s="18" t="s">
        <v>80</v>
      </c>
      <c r="B97" s="18" t="s">
        <v>102</v>
      </c>
      <c r="C97" s="31">
        <f t="shared" si="1"/>
        <v>14375.85</v>
      </c>
    </row>
    <row r="98" spans="1:3" ht="15">
      <c r="A98" s="18" t="s">
        <v>82</v>
      </c>
      <c r="B98" s="18" t="s">
        <v>103</v>
      </c>
      <c r="C98" s="31">
        <f t="shared" si="1"/>
        <v>14375.85</v>
      </c>
    </row>
    <row r="99" spans="1:3" ht="15">
      <c r="A99" s="18" t="s">
        <v>84</v>
      </c>
      <c r="B99" s="18" t="s">
        <v>104</v>
      </c>
      <c r="C99" s="31">
        <f t="shared" si="1"/>
        <v>14375.85</v>
      </c>
    </row>
    <row r="100" spans="1:3" ht="15">
      <c r="A100" s="18" t="s">
        <v>86</v>
      </c>
      <c r="B100" s="18" t="s">
        <v>105</v>
      </c>
      <c r="C100" s="31">
        <f t="shared" si="1"/>
        <v>14375.85</v>
      </c>
    </row>
    <row r="101" spans="1:3" ht="15">
      <c r="A101" s="18" t="s">
        <v>88</v>
      </c>
      <c r="B101" s="18" t="s">
        <v>106</v>
      </c>
      <c r="C101" s="31">
        <f t="shared" si="1"/>
        <v>14375.85</v>
      </c>
    </row>
    <row r="102" spans="1:3" ht="30">
      <c r="A102" s="18" t="s">
        <v>88</v>
      </c>
      <c r="B102" s="20" t="s">
        <v>107</v>
      </c>
      <c r="C102" s="46">
        <v>3000</v>
      </c>
    </row>
    <row r="103" spans="1:3" ht="15">
      <c r="A103" s="18" t="s">
        <v>90</v>
      </c>
      <c r="B103" s="18" t="s">
        <v>108</v>
      </c>
      <c r="C103" s="31">
        <f>10450+3925.85</f>
        <v>14375.85</v>
      </c>
    </row>
    <row r="104" spans="1:3" ht="15">
      <c r="A104" s="18" t="s">
        <v>92</v>
      </c>
      <c r="B104" s="18" t="s">
        <v>109</v>
      </c>
      <c r="C104" s="31">
        <f>10450+3925.85</f>
        <v>14375.85</v>
      </c>
    </row>
    <row r="105" spans="1:3" ht="15">
      <c r="A105" s="98" t="s">
        <v>110</v>
      </c>
      <c r="B105" s="99"/>
      <c r="C105" s="31">
        <v>333740.93</v>
      </c>
    </row>
    <row r="106" spans="1:3" ht="15">
      <c r="A106" s="18" t="s">
        <v>111</v>
      </c>
      <c r="B106" s="18"/>
      <c r="C106" s="31">
        <v>1350</v>
      </c>
    </row>
    <row r="107" spans="1:3" ht="15">
      <c r="A107" s="45" t="s">
        <v>94</v>
      </c>
      <c r="B107" s="18"/>
      <c r="C107" s="28">
        <f>SUM(C92:C106)</f>
        <v>510551.13</v>
      </c>
    </row>
    <row r="108" spans="1:4" ht="15">
      <c r="A108" s="45" t="s">
        <v>95</v>
      </c>
      <c r="B108" s="18"/>
      <c r="C108" s="28">
        <f>C107*1.01</f>
        <v>515656.6413</v>
      </c>
      <c r="D108" s="47"/>
    </row>
    <row r="109" spans="1:4" ht="15">
      <c r="A109" s="45" t="s">
        <v>112</v>
      </c>
      <c r="B109" s="18"/>
      <c r="C109" s="28">
        <f>C89+C108</f>
        <v>1718742.0783000002</v>
      </c>
      <c r="D109" s="47"/>
    </row>
    <row r="110" spans="1:4" ht="15">
      <c r="A110" s="37" t="s">
        <v>113</v>
      </c>
      <c r="B110" s="7"/>
      <c r="C110" s="29"/>
      <c r="D110" s="47"/>
    </row>
    <row r="111" spans="1:4" ht="15">
      <c r="A111" s="37" t="s">
        <v>114</v>
      </c>
      <c r="B111" s="7"/>
      <c r="C111" s="29"/>
      <c r="D111" s="47"/>
    </row>
    <row r="112" spans="1:4" ht="15">
      <c r="A112" s="37" t="s">
        <v>115</v>
      </c>
      <c r="B112" s="7"/>
      <c r="C112" s="29"/>
      <c r="D112" s="47"/>
    </row>
    <row r="113" spans="1:4" ht="15">
      <c r="A113" s="37"/>
      <c r="B113" s="7"/>
      <c r="C113" s="29"/>
      <c r="D113" s="47"/>
    </row>
    <row r="114" spans="1:3" ht="15">
      <c r="A114" s="48" t="s">
        <v>116</v>
      </c>
      <c r="B114" s="43" t="s">
        <v>68</v>
      </c>
      <c r="C114" s="44" t="s">
        <v>69</v>
      </c>
    </row>
    <row r="115" spans="1:3" ht="15">
      <c r="A115" s="18" t="s">
        <v>70</v>
      </c>
      <c r="B115" s="18" t="s">
        <v>117</v>
      </c>
      <c r="C115" s="31">
        <v>21332.33</v>
      </c>
    </row>
    <row r="116" spans="1:3" ht="15">
      <c r="A116" s="18" t="s">
        <v>72</v>
      </c>
      <c r="B116" s="18" t="s">
        <v>118</v>
      </c>
      <c r="C116" s="31">
        <v>41081.21</v>
      </c>
    </row>
    <row r="117" spans="1:3" ht="15">
      <c r="A117" s="18" t="s">
        <v>74</v>
      </c>
      <c r="B117" s="18" t="s">
        <v>119</v>
      </c>
      <c r="C117" s="31">
        <v>34882.7</v>
      </c>
    </row>
    <row r="118" spans="1:3" ht="15">
      <c r="A118" s="18" t="s">
        <v>76</v>
      </c>
      <c r="B118" s="18" t="s">
        <v>120</v>
      </c>
      <c r="C118" s="31">
        <v>42264.66</v>
      </c>
    </row>
    <row r="119" spans="1:3" ht="15">
      <c r="A119" s="18" t="s">
        <v>78</v>
      </c>
      <c r="B119" s="18" t="s">
        <v>121</v>
      </c>
      <c r="C119" s="31">
        <v>42838.82</v>
      </c>
    </row>
    <row r="120" spans="1:3" ht="15">
      <c r="A120" s="18" t="s">
        <v>80</v>
      </c>
      <c r="B120" s="18" t="s">
        <v>122</v>
      </c>
      <c r="C120" s="31">
        <v>37109</v>
      </c>
    </row>
    <row r="121" spans="1:3" ht="15">
      <c r="A121" s="18" t="s">
        <v>82</v>
      </c>
      <c r="B121" s="18" t="s">
        <v>123</v>
      </c>
      <c r="C121" s="31">
        <v>29094.3</v>
      </c>
    </row>
    <row r="122" spans="1:3" ht="15">
      <c r="A122" s="18" t="s">
        <v>84</v>
      </c>
      <c r="B122" s="18" t="s">
        <v>124</v>
      </c>
      <c r="C122" s="31">
        <v>38913.48</v>
      </c>
    </row>
    <row r="123" spans="1:3" ht="15">
      <c r="A123" s="18" t="s">
        <v>86</v>
      </c>
      <c r="B123" s="18" t="s">
        <v>125</v>
      </c>
      <c r="C123" s="31">
        <v>35398.26</v>
      </c>
    </row>
    <row r="124" spans="1:3" ht="15">
      <c r="A124" s="18" t="s">
        <v>88</v>
      </c>
      <c r="B124" s="18" t="s">
        <v>126</v>
      </c>
      <c r="C124" s="31">
        <v>38784.59</v>
      </c>
    </row>
    <row r="125" spans="1:3" ht="15">
      <c r="A125" s="18" t="s">
        <v>90</v>
      </c>
      <c r="B125" s="18" t="s">
        <v>127</v>
      </c>
      <c r="C125" s="31">
        <v>37026.98</v>
      </c>
    </row>
    <row r="126" spans="1:3" ht="15">
      <c r="A126" s="18" t="s">
        <v>92</v>
      </c>
      <c r="B126" s="18" t="s">
        <v>128</v>
      </c>
      <c r="C126" s="31">
        <v>48744.38</v>
      </c>
    </row>
    <row r="127" spans="1:3" ht="15">
      <c r="A127" s="45" t="s">
        <v>94</v>
      </c>
      <c r="B127" s="18"/>
      <c r="C127" s="28">
        <f>SUM(C115:C126)</f>
        <v>447470.70999999996</v>
      </c>
    </row>
    <row r="128" spans="1:3" ht="15">
      <c r="A128" s="49" t="s">
        <v>95</v>
      </c>
      <c r="B128" s="18"/>
      <c r="C128" s="50">
        <f>C127*1.01</f>
        <v>451945.41709999996</v>
      </c>
    </row>
    <row r="129" spans="1:3" ht="15">
      <c r="A129" s="41"/>
      <c r="B129" s="7"/>
      <c r="C129" s="51"/>
    </row>
    <row r="130" spans="1:3" ht="15">
      <c r="A130" s="52" t="s">
        <v>129</v>
      </c>
      <c r="B130" s="18" t="s">
        <v>130</v>
      </c>
      <c r="C130" s="50">
        <v>149185.92</v>
      </c>
    </row>
    <row r="131" spans="1:3" ht="15">
      <c r="A131" s="52" t="s">
        <v>95</v>
      </c>
      <c r="B131" s="18"/>
      <c r="C131" s="50">
        <f>C130*1.01</f>
        <v>150677.77920000002</v>
      </c>
    </row>
    <row r="132" spans="1:3" ht="15">
      <c r="A132" s="41"/>
      <c r="B132" s="7"/>
      <c r="C132" s="51"/>
    </row>
    <row r="133" spans="1:3" ht="15">
      <c r="A133" s="48" t="s">
        <v>131</v>
      </c>
      <c r="B133" s="43" t="s">
        <v>68</v>
      </c>
      <c r="C133" s="44" t="s">
        <v>69</v>
      </c>
    </row>
    <row r="134" spans="1:3" ht="15">
      <c r="A134" s="18" t="s">
        <v>132</v>
      </c>
      <c r="B134" s="18" t="s">
        <v>133</v>
      </c>
      <c r="C134" s="31">
        <v>26555.1</v>
      </c>
    </row>
    <row r="135" spans="1:3" ht="15">
      <c r="A135" s="18" t="s">
        <v>72</v>
      </c>
      <c r="B135" s="18" t="s">
        <v>134</v>
      </c>
      <c r="C135" s="31">
        <v>26555.1</v>
      </c>
    </row>
    <row r="136" spans="1:3" ht="15">
      <c r="A136" s="18" t="s">
        <v>74</v>
      </c>
      <c r="B136" s="18"/>
      <c r="C136" s="31">
        <v>26555.1</v>
      </c>
    </row>
    <row r="137" spans="1:3" ht="15">
      <c r="A137" s="18" t="s">
        <v>76</v>
      </c>
      <c r="B137" s="18"/>
      <c r="C137" s="31">
        <v>26555.1</v>
      </c>
    </row>
    <row r="138" spans="1:3" ht="15">
      <c r="A138" s="18" t="s">
        <v>78</v>
      </c>
      <c r="B138" s="18"/>
      <c r="C138" s="31">
        <v>26555.1</v>
      </c>
    </row>
    <row r="139" spans="1:3" ht="15">
      <c r="A139" s="18" t="s">
        <v>80</v>
      </c>
      <c r="B139" s="18"/>
      <c r="C139" s="31">
        <v>26555.1</v>
      </c>
    </row>
    <row r="140" spans="1:3" ht="15">
      <c r="A140" s="18" t="s">
        <v>82</v>
      </c>
      <c r="B140" s="18"/>
      <c r="C140" s="31">
        <v>26555.1</v>
      </c>
    </row>
    <row r="141" spans="1:3" ht="15">
      <c r="A141" s="18" t="s">
        <v>84</v>
      </c>
      <c r="B141" s="18"/>
      <c r="C141" s="31">
        <v>26555.1</v>
      </c>
    </row>
    <row r="142" spans="1:3" ht="15">
      <c r="A142" s="18" t="s">
        <v>86</v>
      </c>
      <c r="B142" s="18" t="s">
        <v>135</v>
      </c>
      <c r="C142" s="31">
        <v>11236.76</v>
      </c>
    </row>
    <row r="143" spans="1:3" ht="15">
      <c r="A143" s="18" t="s">
        <v>88</v>
      </c>
      <c r="B143" s="18" t="s">
        <v>136</v>
      </c>
      <c r="C143" s="31">
        <v>12067.21</v>
      </c>
    </row>
    <row r="144" spans="1:3" ht="15">
      <c r="A144" s="18" t="s">
        <v>90</v>
      </c>
      <c r="B144" s="18" t="s">
        <v>137</v>
      </c>
      <c r="C144" s="31">
        <v>42343.45</v>
      </c>
    </row>
    <row r="145" spans="1:3" ht="15">
      <c r="A145" s="18" t="s">
        <v>92</v>
      </c>
      <c r="B145" s="18" t="s">
        <v>138</v>
      </c>
      <c r="C145" s="31">
        <v>40572.98</v>
      </c>
    </row>
    <row r="146" spans="1:3" ht="15">
      <c r="A146" s="45" t="s">
        <v>94</v>
      </c>
      <c r="B146" s="18"/>
      <c r="C146" s="28">
        <f>SUM(C134:C145)</f>
        <v>318661.2</v>
      </c>
    </row>
    <row r="147" spans="1:3" ht="15">
      <c r="A147" s="45" t="s">
        <v>95</v>
      </c>
      <c r="B147" s="18"/>
      <c r="C147" s="50">
        <f>C146*1.01</f>
        <v>321847.81200000003</v>
      </c>
    </row>
    <row r="148" ht="15">
      <c r="C148" s="53"/>
    </row>
    <row r="149" spans="1:3" ht="15">
      <c r="A149" s="48" t="s">
        <v>139</v>
      </c>
      <c r="B149" s="43" t="s">
        <v>68</v>
      </c>
      <c r="C149" s="44" t="s">
        <v>69</v>
      </c>
    </row>
    <row r="150" spans="1:3" ht="15">
      <c r="A150" s="18" t="s">
        <v>70</v>
      </c>
      <c r="B150" s="18" t="s">
        <v>140</v>
      </c>
      <c r="C150" s="31">
        <v>7468.16</v>
      </c>
    </row>
    <row r="151" spans="1:3" ht="15">
      <c r="A151" s="18" t="s">
        <v>72</v>
      </c>
      <c r="B151" s="18" t="s">
        <v>141</v>
      </c>
      <c r="C151" s="31">
        <v>14718.79</v>
      </c>
    </row>
    <row r="152" spans="1:3" ht="15">
      <c r="A152" s="18" t="s">
        <v>74</v>
      </c>
      <c r="B152" s="18" t="s">
        <v>142</v>
      </c>
      <c r="C152" s="31">
        <v>11039.1</v>
      </c>
    </row>
    <row r="153" spans="1:3" ht="15">
      <c r="A153" s="18" t="s">
        <v>76</v>
      </c>
      <c r="B153" s="18" t="s">
        <v>143</v>
      </c>
      <c r="C153" s="31">
        <v>14718.79</v>
      </c>
    </row>
    <row r="154" spans="1:3" ht="15">
      <c r="A154" s="18" t="s">
        <v>78</v>
      </c>
      <c r="B154" s="18" t="s">
        <v>144</v>
      </c>
      <c r="C154" s="31">
        <v>14718.79</v>
      </c>
    </row>
    <row r="155" spans="1:3" ht="15">
      <c r="A155" s="18" t="s">
        <v>80</v>
      </c>
      <c r="B155" s="18" t="s">
        <v>145</v>
      </c>
      <c r="C155" s="31">
        <v>14718.79</v>
      </c>
    </row>
    <row r="156" spans="1:3" ht="15">
      <c r="A156" s="18" t="s">
        <v>80</v>
      </c>
      <c r="B156" s="18" t="s">
        <v>146</v>
      </c>
      <c r="C156" s="31">
        <v>1620</v>
      </c>
    </row>
    <row r="157" spans="1:3" ht="15">
      <c r="A157" s="18" t="s">
        <v>82</v>
      </c>
      <c r="B157" s="18" t="s">
        <v>147</v>
      </c>
      <c r="C157" s="31">
        <v>14718.79</v>
      </c>
    </row>
    <row r="158" spans="1:3" ht="15">
      <c r="A158" s="18" t="s">
        <v>84</v>
      </c>
      <c r="B158" s="18" t="s">
        <v>148</v>
      </c>
      <c r="C158" s="31">
        <v>14718.79</v>
      </c>
    </row>
    <row r="159" spans="1:3" ht="15">
      <c r="A159" s="18" t="s">
        <v>86</v>
      </c>
      <c r="B159" s="18" t="s">
        <v>149</v>
      </c>
      <c r="C159" s="31">
        <v>14718.79</v>
      </c>
    </row>
    <row r="160" spans="1:3" ht="15">
      <c r="A160" s="18" t="s">
        <v>88</v>
      </c>
      <c r="B160" s="18" t="s">
        <v>150</v>
      </c>
      <c r="C160" s="31">
        <v>14718.79</v>
      </c>
    </row>
    <row r="161" spans="1:3" ht="15">
      <c r="A161" s="18" t="s">
        <v>90</v>
      </c>
      <c r="B161" s="18" t="s">
        <v>151</v>
      </c>
      <c r="C161" s="31">
        <v>14718.79</v>
      </c>
    </row>
    <row r="162" spans="1:3" ht="15">
      <c r="A162" s="18" t="s">
        <v>92</v>
      </c>
      <c r="B162" s="18" t="s">
        <v>152</v>
      </c>
      <c r="C162" s="31">
        <v>14718.79</v>
      </c>
    </row>
    <row r="163" spans="1:3" ht="15">
      <c r="A163" s="45" t="s">
        <v>94</v>
      </c>
      <c r="B163" s="18"/>
      <c r="C163" s="28">
        <f>SUM(C150:C162)</f>
        <v>167315.16000000006</v>
      </c>
    </row>
    <row r="164" spans="1:3" ht="15">
      <c r="A164" s="49" t="s">
        <v>95</v>
      </c>
      <c r="B164" s="20"/>
      <c r="C164" s="50">
        <f>C163*1.01</f>
        <v>168988.31160000007</v>
      </c>
    </row>
    <row r="165" spans="2:3" ht="15">
      <c r="B165" s="54"/>
      <c r="C165" s="53"/>
    </row>
    <row r="166" spans="1:3" ht="18.75">
      <c r="A166" s="48" t="s">
        <v>26</v>
      </c>
      <c r="B166" s="55"/>
      <c r="C166" s="56"/>
    </row>
    <row r="167" spans="1:3" ht="15.75">
      <c r="A167" s="57" t="s">
        <v>70</v>
      </c>
      <c r="B167" s="18" t="s">
        <v>153</v>
      </c>
      <c r="C167" s="31">
        <v>24000</v>
      </c>
    </row>
    <row r="168" spans="1:3" ht="15.75">
      <c r="A168" s="57" t="s">
        <v>70</v>
      </c>
      <c r="B168" s="18" t="s">
        <v>154</v>
      </c>
      <c r="C168" s="31">
        <v>6000</v>
      </c>
    </row>
    <row r="169" spans="1:3" ht="15">
      <c r="A169" s="18" t="s">
        <v>72</v>
      </c>
      <c r="B169" s="18" t="s">
        <v>155</v>
      </c>
      <c r="C169" s="31">
        <v>3500</v>
      </c>
    </row>
    <row r="170" spans="1:3" ht="15">
      <c r="A170" s="18" t="s">
        <v>84</v>
      </c>
      <c r="B170" s="18" t="s">
        <v>156</v>
      </c>
      <c r="C170" s="31">
        <v>1900</v>
      </c>
    </row>
    <row r="171" spans="1:3" ht="15">
      <c r="A171" s="18" t="s">
        <v>88</v>
      </c>
      <c r="B171" s="18" t="s">
        <v>157</v>
      </c>
      <c r="C171" s="31">
        <v>1266</v>
      </c>
    </row>
    <row r="172" spans="1:3" ht="15">
      <c r="A172" s="18" t="s">
        <v>92</v>
      </c>
      <c r="B172" s="18" t="s">
        <v>158</v>
      </c>
      <c r="C172" s="31">
        <v>26600</v>
      </c>
    </row>
    <row r="173" spans="1:3" ht="15">
      <c r="A173" s="45" t="s">
        <v>159</v>
      </c>
      <c r="B173" s="18"/>
      <c r="C173" s="28">
        <f>SUM(C167:C172)</f>
        <v>63266</v>
      </c>
    </row>
    <row r="174" spans="1:3" ht="15">
      <c r="A174" s="49" t="s">
        <v>95</v>
      </c>
      <c r="B174" s="20"/>
      <c r="C174" s="50">
        <f>C173*1.01</f>
        <v>63898.66</v>
      </c>
    </row>
    <row r="175" spans="2:3" ht="15">
      <c r="B175" s="54"/>
      <c r="C175" s="53"/>
    </row>
    <row r="176" spans="1:3" ht="15.75">
      <c r="A176" s="42" t="s">
        <v>160</v>
      </c>
      <c r="B176" s="43" t="s">
        <v>68</v>
      </c>
      <c r="C176" s="44" t="s">
        <v>69</v>
      </c>
    </row>
    <row r="177" spans="1:3" ht="15">
      <c r="A177" s="18" t="s">
        <v>70</v>
      </c>
      <c r="B177" s="18" t="s">
        <v>161</v>
      </c>
      <c r="C177" s="31">
        <v>13629</v>
      </c>
    </row>
    <row r="178" spans="1:3" ht="15">
      <c r="A178" s="18" t="s">
        <v>72</v>
      </c>
      <c r="B178" s="18" t="s">
        <v>162</v>
      </c>
      <c r="C178" s="31">
        <v>13629</v>
      </c>
    </row>
    <row r="179" spans="1:3" ht="15">
      <c r="A179" s="18" t="s">
        <v>74</v>
      </c>
      <c r="B179" s="18" t="s">
        <v>163</v>
      </c>
      <c r="C179" s="31">
        <v>13629</v>
      </c>
    </row>
    <row r="180" spans="1:3" ht="15">
      <c r="A180" s="18" t="s">
        <v>76</v>
      </c>
      <c r="B180" s="18" t="s">
        <v>164</v>
      </c>
      <c r="C180" s="31">
        <v>13629</v>
      </c>
    </row>
    <row r="181" spans="1:3" ht="15">
      <c r="A181" s="18" t="s">
        <v>78</v>
      </c>
      <c r="B181" s="18" t="s">
        <v>165</v>
      </c>
      <c r="C181" s="31">
        <v>13629</v>
      </c>
    </row>
    <row r="182" spans="1:3" ht="15">
      <c r="A182" s="18" t="s">
        <v>80</v>
      </c>
      <c r="B182" s="18" t="s">
        <v>166</v>
      </c>
      <c r="C182" s="31">
        <v>13629</v>
      </c>
    </row>
    <row r="183" spans="1:3" ht="15">
      <c r="A183" s="18" t="s">
        <v>82</v>
      </c>
      <c r="B183" s="18" t="s">
        <v>167</v>
      </c>
      <c r="C183" s="31">
        <v>13629</v>
      </c>
    </row>
    <row r="184" spans="1:3" ht="15">
      <c r="A184" s="18" t="s">
        <v>84</v>
      </c>
      <c r="B184" s="18" t="s">
        <v>168</v>
      </c>
      <c r="C184" s="31">
        <v>13629</v>
      </c>
    </row>
    <row r="185" spans="1:3" ht="15">
      <c r="A185" s="18" t="s">
        <v>86</v>
      </c>
      <c r="B185" s="18" t="s">
        <v>169</v>
      </c>
      <c r="C185" s="31">
        <v>13629</v>
      </c>
    </row>
    <row r="186" spans="1:3" ht="15">
      <c r="A186" s="18" t="s">
        <v>88</v>
      </c>
      <c r="B186" s="18" t="s">
        <v>170</v>
      </c>
      <c r="C186" s="31">
        <v>13629</v>
      </c>
    </row>
    <row r="187" spans="1:3" ht="15">
      <c r="A187" s="18" t="s">
        <v>90</v>
      </c>
      <c r="B187" s="18" t="s">
        <v>171</v>
      </c>
      <c r="C187" s="31">
        <v>13629</v>
      </c>
    </row>
    <row r="188" spans="1:3" ht="30">
      <c r="A188" s="18" t="s">
        <v>90</v>
      </c>
      <c r="B188" s="20" t="s">
        <v>172</v>
      </c>
      <c r="C188" s="31">
        <v>500</v>
      </c>
    </row>
    <row r="189" spans="1:3" ht="15">
      <c r="A189" s="18" t="s">
        <v>92</v>
      </c>
      <c r="B189" s="18" t="s">
        <v>173</v>
      </c>
      <c r="C189" s="31">
        <v>13629</v>
      </c>
    </row>
    <row r="190" spans="1:3" ht="15">
      <c r="A190" s="45" t="s">
        <v>94</v>
      </c>
      <c r="B190" s="18"/>
      <c r="C190" s="28">
        <f>SUM(C177:C189)</f>
        <v>164048</v>
      </c>
    </row>
    <row r="191" spans="1:3" ht="15">
      <c r="A191" s="49" t="s">
        <v>95</v>
      </c>
      <c r="B191" s="58"/>
      <c r="C191" s="50">
        <f>C190*1.01</f>
        <v>165688.48</v>
      </c>
    </row>
    <row r="192" spans="1:3" ht="15">
      <c r="A192" s="41"/>
      <c r="B192" s="59"/>
      <c r="C192" s="51"/>
    </row>
    <row r="193" spans="1:3" ht="15.75">
      <c r="A193" s="42" t="s">
        <v>174</v>
      </c>
      <c r="B193" s="43" t="s">
        <v>68</v>
      </c>
      <c r="C193" s="44" t="s">
        <v>69</v>
      </c>
    </row>
    <row r="194" spans="1:3" ht="15">
      <c r="A194" s="18" t="s">
        <v>175</v>
      </c>
      <c r="B194" s="18"/>
      <c r="C194" s="31">
        <v>3922.99</v>
      </c>
    </row>
    <row r="195" spans="1:3" ht="15">
      <c r="A195" s="18" t="s">
        <v>176</v>
      </c>
      <c r="B195" s="60"/>
      <c r="C195" s="31">
        <v>5834</v>
      </c>
    </row>
    <row r="196" spans="1:3" ht="15">
      <c r="A196" s="61" t="s">
        <v>177</v>
      </c>
      <c r="B196" s="62"/>
      <c r="C196" s="31">
        <f>25500+81794</f>
        <v>107294</v>
      </c>
    </row>
    <row r="197" spans="1:3" ht="15">
      <c r="A197" s="18" t="s">
        <v>178</v>
      </c>
      <c r="B197" s="18"/>
      <c r="C197" s="31">
        <v>9148.09</v>
      </c>
    </row>
    <row r="198" spans="1:3" ht="15">
      <c r="A198" s="45" t="s">
        <v>159</v>
      </c>
      <c r="B198" s="18"/>
      <c r="C198" s="28">
        <f>SUM(C194:C197)</f>
        <v>126199.08</v>
      </c>
    </row>
    <row r="199" spans="1:3" ht="15">
      <c r="A199" s="45" t="s">
        <v>95</v>
      </c>
      <c r="B199" s="18"/>
      <c r="C199" s="28">
        <f>C198*1.01</f>
        <v>127461.0708</v>
      </c>
    </row>
    <row r="200" ht="15">
      <c r="C200" s="30"/>
    </row>
    <row r="201" spans="1:3" ht="15.75">
      <c r="A201" s="42" t="s">
        <v>179</v>
      </c>
      <c r="B201" s="43" t="s">
        <v>68</v>
      </c>
      <c r="C201" s="44" t="s">
        <v>69</v>
      </c>
    </row>
    <row r="202" spans="1:3" ht="15">
      <c r="A202" s="18" t="s">
        <v>180</v>
      </c>
      <c r="B202" s="18"/>
      <c r="C202" s="31">
        <v>325000</v>
      </c>
    </row>
    <row r="203" spans="1:3" ht="15">
      <c r="A203" s="18" t="s">
        <v>181</v>
      </c>
      <c r="B203" s="18"/>
      <c r="C203" s="31">
        <v>60647.5</v>
      </c>
    </row>
    <row r="204" spans="1:3" ht="15">
      <c r="A204" s="18" t="s">
        <v>182</v>
      </c>
      <c r="B204" s="18"/>
      <c r="C204" s="31">
        <v>122056</v>
      </c>
    </row>
    <row r="205" spans="1:3" ht="15">
      <c r="A205" s="98" t="s">
        <v>183</v>
      </c>
      <c r="B205" s="99"/>
      <c r="C205" s="31">
        <v>180000</v>
      </c>
    </row>
    <row r="206" spans="1:3" ht="15">
      <c r="A206" s="18" t="s">
        <v>184</v>
      </c>
      <c r="B206" s="18"/>
      <c r="C206" s="31">
        <v>60000</v>
      </c>
    </row>
    <row r="207" spans="1:4" ht="15">
      <c r="A207" s="18" t="s">
        <v>185</v>
      </c>
      <c r="B207" s="18"/>
      <c r="C207" s="31">
        <v>19654.74</v>
      </c>
      <c r="D207" s="47"/>
    </row>
    <row r="208" spans="1:3" ht="15">
      <c r="A208" s="45" t="s">
        <v>94</v>
      </c>
      <c r="B208" s="63"/>
      <c r="C208" s="28">
        <f>SUM(C202:C207)</f>
        <v>767358.24</v>
      </c>
    </row>
    <row r="209" spans="1:3" ht="15.75">
      <c r="A209" s="64" t="s">
        <v>95</v>
      </c>
      <c r="B209" s="45"/>
      <c r="C209" s="50">
        <f>C208*1.01</f>
        <v>775031.8224</v>
      </c>
    </row>
    <row r="210" spans="1:3" ht="15.75">
      <c r="A210" s="65"/>
      <c r="B210" s="37"/>
      <c r="C210" s="51"/>
    </row>
    <row r="211" spans="1:3" ht="15.75">
      <c r="A211" s="42" t="s">
        <v>186</v>
      </c>
      <c r="B211" s="43" t="s">
        <v>68</v>
      </c>
      <c r="C211" s="44" t="s">
        <v>69</v>
      </c>
    </row>
    <row r="212" spans="1:3" ht="15">
      <c r="A212" s="18" t="s">
        <v>70</v>
      </c>
      <c r="B212" s="18" t="s">
        <v>187</v>
      </c>
      <c r="C212" s="31">
        <v>4300</v>
      </c>
    </row>
    <row r="213" spans="1:3" ht="15">
      <c r="A213" s="18" t="s">
        <v>72</v>
      </c>
      <c r="B213" s="18" t="s">
        <v>188</v>
      </c>
      <c r="C213" s="31">
        <v>4300</v>
      </c>
    </row>
    <row r="214" spans="1:3" ht="15">
      <c r="A214" s="18" t="s">
        <v>74</v>
      </c>
      <c r="B214" s="18" t="s">
        <v>189</v>
      </c>
      <c r="C214" s="31">
        <v>4300</v>
      </c>
    </row>
    <row r="215" spans="1:3" ht="15">
      <c r="A215" s="18" t="s">
        <v>76</v>
      </c>
      <c r="B215" s="18" t="s">
        <v>190</v>
      </c>
      <c r="C215" s="31">
        <v>4300</v>
      </c>
    </row>
    <row r="216" spans="1:3" ht="15">
      <c r="A216" s="18" t="s">
        <v>78</v>
      </c>
      <c r="B216" s="18" t="s">
        <v>191</v>
      </c>
      <c r="C216" s="31">
        <v>4300</v>
      </c>
    </row>
    <row r="217" spans="1:3" ht="15">
      <c r="A217" s="18" t="s">
        <v>80</v>
      </c>
      <c r="B217" s="18" t="s">
        <v>192</v>
      </c>
      <c r="C217" s="31">
        <v>4300</v>
      </c>
    </row>
    <row r="218" spans="1:3" ht="15">
      <c r="A218" s="18" t="s">
        <v>82</v>
      </c>
      <c r="B218" s="18" t="s">
        <v>193</v>
      </c>
      <c r="C218" s="31">
        <v>4300</v>
      </c>
    </row>
    <row r="219" spans="1:3" ht="15">
      <c r="A219" s="18" t="s">
        <v>84</v>
      </c>
      <c r="B219" s="18" t="s">
        <v>194</v>
      </c>
      <c r="C219" s="31">
        <v>4300</v>
      </c>
    </row>
    <row r="220" spans="1:3" ht="15">
      <c r="A220" s="18" t="s">
        <v>86</v>
      </c>
      <c r="B220" s="18" t="s">
        <v>195</v>
      </c>
      <c r="C220" s="31">
        <v>4300</v>
      </c>
    </row>
    <row r="221" spans="1:3" ht="15">
      <c r="A221" s="18" t="s">
        <v>88</v>
      </c>
      <c r="B221" s="18" t="s">
        <v>196</v>
      </c>
      <c r="C221" s="31">
        <v>4300</v>
      </c>
    </row>
    <row r="222" spans="1:3" ht="15">
      <c r="A222" s="18" t="s">
        <v>90</v>
      </c>
      <c r="B222" s="18" t="s">
        <v>197</v>
      </c>
      <c r="C222" s="31">
        <v>4300</v>
      </c>
    </row>
    <row r="223" spans="1:3" ht="15">
      <c r="A223" s="18" t="s">
        <v>92</v>
      </c>
      <c r="B223" s="18" t="s">
        <v>198</v>
      </c>
      <c r="C223" s="31">
        <v>4300</v>
      </c>
    </row>
    <row r="224" spans="1:3" ht="15">
      <c r="A224" s="45" t="s">
        <v>94</v>
      </c>
      <c r="B224" s="18"/>
      <c r="C224" s="28">
        <f>SUM(C212:C223)</f>
        <v>51600</v>
      </c>
    </row>
    <row r="225" spans="1:3" ht="15">
      <c r="A225" s="45" t="s">
        <v>95</v>
      </c>
      <c r="B225" s="18"/>
      <c r="C225" s="28">
        <f>C224*1.01</f>
        <v>52116</v>
      </c>
    </row>
    <row r="226" spans="1:3" ht="15.75">
      <c r="A226" s="65"/>
      <c r="B226" s="37"/>
      <c r="C226" s="51"/>
    </row>
    <row r="227" spans="1:3" ht="15.75">
      <c r="A227" s="42" t="s">
        <v>199</v>
      </c>
      <c r="B227" s="43" t="s">
        <v>68</v>
      </c>
      <c r="C227" s="44" t="s">
        <v>69</v>
      </c>
    </row>
    <row r="228" spans="1:3" ht="15">
      <c r="A228" s="18" t="s">
        <v>70</v>
      </c>
      <c r="B228" s="18" t="s">
        <v>200</v>
      </c>
      <c r="C228" s="31">
        <v>1000</v>
      </c>
    </row>
    <row r="229" spans="1:3" ht="15">
      <c r="A229" s="18" t="s">
        <v>72</v>
      </c>
      <c r="B229" s="18" t="s">
        <v>201</v>
      </c>
      <c r="C229" s="31">
        <v>1000</v>
      </c>
    </row>
    <row r="230" spans="1:3" ht="15">
      <c r="A230" s="18" t="s">
        <v>74</v>
      </c>
      <c r="B230" s="18" t="s">
        <v>202</v>
      </c>
      <c r="C230" s="31">
        <v>1000</v>
      </c>
    </row>
    <row r="231" spans="1:3" ht="15">
      <c r="A231" s="18" t="s">
        <v>76</v>
      </c>
      <c r="B231" s="18" t="s">
        <v>203</v>
      </c>
      <c r="C231" s="31">
        <v>1000</v>
      </c>
    </row>
    <row r="232" spans="1:3" ht="15">
      <c r="A232" s="18" t="s">
        <v>78</v>
      </c>
      <c r="B232" s="18" t="s">
        <v>204</v>
      </c>
      <c r="C232" s="31">
        <v>1000</v>
      </c>
    </row>
    <row r="233" spans="1:3" ht="15">
      <c r="A233" s="18" t="s">
        <v>80</v>
      </c>
      <c r="B233" s="18" t="s">
        <v>205</v>
      </c>
      <c r="C233" s="31">
        <v>1000</v>
      </c>
    </row>
    <row r="234" spans="1:3" ht="15">
      <c r="A234" s="18" t="s">
        <v>82</v>
      </c>
      <c r="B234" s="18" t="s">
        <v>206</v>
      </c>
      <c r="C234" s="31">
        <v>1000</v>
      </c>
    </row>
    <row r="235" spans="1:3" ht="15">
      <c r="A235" s="18" t="s">
        <v>84</v>
      </c>
      <c r="B235" s="18" t="s">
        <v>207</v>
      </c>
      <c r="C235" s="31">
        <v>1000</v>
      </c>
    </row>
    <row r="236" spans="1:3" ht="15">
      <c r="A236" s="18" t="s">
        <v>86</v>
      </c>
      <c r="B236" s="18" t="s">
        <v>208</v>
      </c>
      <c r="C236" s="31">
        <v>1000</v>
      </c>
    </row>
    <row r="237" spans="1:3" ht="15">
      <c r="A237" s="18" t="s">
        <v>88</v>
      </c>
      <c r="B237" s="18" t="s">
        <v>209</v>
      </c>
      <c r="C237" s="31">
        <v>1000</v>
      </c>
    </row>
    <row r="238" spans="1:3" ht="15">
      <c r="A238" s="18" t="s">
        <v>90</v>
      </c>
      <c r="B238" s="18" t="s">
        <v>210</v>
      </c>
      <c r="C238" s="31">
        <v>1000</v>
      </c>
    </row>
    <row r="239" spans="1:3" ht="15">
      <c r="A239" s="18" t="s">
        <v>92</v>
      </c>
      <c r="B239" s="18" t="s">
        <v>211</v>
      </c>
      <c r="C239" s="31">
        <v>1000</v>
      </c>
    </row>
    <row r="240" spans="1:3" ht="15">
      <c r="A240" s="45" t="s">
        <v>94</v>
      </c>
      <c r="B240" s="18"/>
      <c r="C240" s="28">
        <f>SUM(C228:C239)</f>
        <v>12000</v>
      </c>
    </row>
    <row r="241" spans="1:3" ht="15.75">
      <c r="A241" s="64" t="s">
        <v>95</v>
      </c>
      <c r="B241" s="45"/>
      <c r="C241" s="50">
        <f>C240*1.01</f>
        <v>12120</v>
      </c>
    </row>
    <row r="242" spans="1:3" ht="15.75">
      <c r="A242" s="65"/>
      <c r="B242" s="37"/>
      <c r="C242" s="51"/>
    </row>
    <row r="243" spans="1:3" ht="15">
      <c r="A243" s="41"/>
      <c r="B243" s="37"/>
      <c r="C243" s="51"/>
    </row>
    <row r="244" spans="1:3" ht="15.75">
      <c r="A244" s="64" t="s">
        <v>212</v>
      </c>
      <c r="B244" s="45"/>
      <c r="C244" s="50">
        <v>52152</v>
      </c>
    </row>
    <row r="245" spans="1:3" ht="15.75">
      <c r="A245" s="64" t="s">
        <v>213</v>
      </c>
      <c r="B245" s="45"/>
      <c r="C245" s="50">
        <f>C244*1.01</f>
        <v>52673.520000000004</v>
      </c>
    </row>
    <row r="246" spans="1:3" ht="15.75" thickBot="1">
      <c r="A246" s="41"/>
      <c r="B246" s="37"/>
      <c r="C246" s="51"/>
    </row>
    <row r="247" spans="1:3" ht="19.5" thickBot="1">
      <c r="A247" s="66" t="s">
        <v>214</v>
      </c>
      <c r="B247" s="67"/>
      <c r="C247" s="68">
        <f>C245+C241+C225+C209+C199+C191+C174+C164+C147+C131+C128+C109</f>
        <v>4061190.9514</v>
      </c>
    </row>
    <row r="248" spans="1:3" ht="15">
      <c r="A248" s="69" t="s">
        <v>215</v>
      </c>
      <c r="B248" s="38"/>
      <c r="C248" s="51"/>
    </row>
    <row r="249" spans="1:4" ht="15">
      <c r="A249" s="69" t="s">
        <v>216</v>
      </c>
      <c r="B249" s="38"/>
      <c r="C249" s="51"/>
      <c r="D249" s="30"/>
    </row>
    <row r="250" spans="1:4" ht="15">
      <c r="A250" s="41"/>
      <c r="B250" s="7"/>
      <c r="C250" s="51"/>
      <c r="D250" s="30"/>
    </row>
    <row r="251" spans="1:4" ht="15">
      <c r="A251" s="36" t="s">
        <v>217</v>
      </c>
      <c r="B251" s="7"/>
      <c r="C251" s="29"/>
      <c r="D251" s="30"/>
    </row>
    <row r="252" spans="1:4" ht="15">
      <c r="A252" s="69" t="s">
        <v>218</v>
      </c>
      <c r="B252" s="7"/>
      <c r="C252" s="29"/>
      <c r="D252" s="30"/>
    </row>
    <row r="253" spans="1:4" ht="15">
      <c r="A253" s="69" t="s">
        <v>219</v>
      </c>
      <c r="B253" s="7"/>
      <c r="C253" s="29"/>
      <c r="D253" s="30"/>
    </row>
    <row r="254" spans="1:4" ht="15">
      <c r="A254" s="36" t="s">
        <v>220</v>
      </c>
      <c r="B254" s="7"/>
      <c r="C254" s="29"/>
      <c r="D254" s="30"/>
    </row>
    <row r="255" spans="1:4" ht="15">
      <c r="A255" s="36" t="s">
        <v>221</v>
      </c>
      <c r="B255" s="7"/>
      <c r="C255" s="29"/>
      <c r="D255" s="30"/>
    </row>
    <row r="256" spans="1:4" ht="15">
      <c r="A256" s="36" t="s">
        <v>222</v>
      </c>
      <c r="B256" s="7"/>
      <c r="C256" s="29"/>
      <c r="D256" s="30"/>
    </row>
    <row r="257" ht="15">
      <c r="A257" s="41"/>
    </row>
    <row r="258" ht="15.75">
      <c r="A258" t="s">
        <v>223</v>
      </c>
    </row>
    <row r="259" ht="15">
      <c r="A259" t="s">
        <v>224</v>
      </c>
    </row>
    <row r="260" ht="15">
      <c r="A260" t="s">
        <v>225</v>
      </c>
    </row>
    <row r="261" ht="15">
      <c r="A261" t="s">
        <v>226</v>
      </c>
    </row>
    <row r="262" ht="15">
      <c r="A262" t="s">
        <v>227</v>
      </c>
    </row>
    <row r="263" ht="15">
      <c r="A263" t="s">
        <v>228</v>
      </c>
    </row>
    <row r="264" ht="15">
      <c r="A264" t="s">
        <v>229</v>
      </c>
    </row>
    <row r="265" ht="15">
      <c r="A265" t="s">
        <v>230</v>
      </c>
    </row>
    <row r="266" ht="15">
      <c r="A266" t="s">
        <v>231</v>
      </c>
    </row>
    <row r="268" ht="18.75">
      <c r="A268" s="3" t="s">
        <v>232</v>
      </c>
    </row>
    <row r="269" ht="15.75" thickBot="1"/>
    <row r="270" spans="1:6" ht="90.75" thickBot="1">
      <c r="A270" s="70" t="s">
        <v>233</v>
      </c>
      <c r="B270" s="71" t="s">
        <v>234</v>
      </c>
      <c r="C270" s="70" t="s">
        <v>235</v>
      </c>
      <c r="D270" s="72" t="s">
        <v>236</v>
      </c>
      <c r="E270" s="70" t="s">
        <v>237</v>
      </c>
      <c r="F270" s="70" t="s">
        <v>238</v>
      </c>
    </row>
    <row r="271" spans="1:6" ht="15">
      <c r="A271" s="73"/>
      <c r="B271" s="74"/>
      <c r="C271" s="73"/>
      <c r="D271" s="75"/>
      <c r="E271" s="73"/>
      <c r="F271" s="73"/>
    </row>
    <row r="272" spans="1:6" ht="15">
      <c r="A272" s="76" t="s">
        <v>239</v>
      </c>
      <c r="B272" s="77">
        <f>447470.71*1.01-800</f>
        <v>451145.4171</v>
      </c>
      <c r="C272" s="76">
        <f>14812.3-595.83-162-60.1-398.38</f>
        <v>13595.99</v>
      </c>
      <c r="D272" s="78">
        <f>B272/C272/12</f>
        <v>2.765186751755481</v>
      </c>
      <c r="E272" s="79">
        <f>(1.96*2+2*4+2*6)/12</f>
        <v>1.9933333333333334</v>
      </c>
      <c r="F272" s="80">
        <f>E272-D272</f>
        <v>-0.7718534184221475</v>
      </c>
    </row>
    <row r="273" spans="1:6" ht="15">
      <c r="A273" s="76" t="s">
        <v>139</v>
      </c>
      <c r="B273" s="77">
        <f>167315.16*1.01</f>
        <v>168988.31160000002</v>
      </c>
      <c r="C273" s="76">
        <f>18405.36-398.38</f>
        <v>18006.98</v>
      </c>
      <c r="D273" s="78">
        <f aca="true" t="shared" si="2" ref="D273:D281">B273/C273/12</f>
        <v>0.7820500328206063</v>
      </c>
      <c r="E273" s="79">
        <f>(0.82*2+0.86*10)/12</f>
        <v>0.8533333333333334</v>
      </c>
      <c r="F273" s="80">
        <f aca="true" t="shared" si="3" ref="F273:F281">E273-D273</f>
        <v>0.07128330051272713</v>
      </c>
    </row>
    <row r="274" spans="1:6" ht="15">
      <c r="A274" s="76" t="s">
        <v>23</v>
      </c>
      <c r="B274" s="81">
        <f>164048*1.01</f>
        <v>165688.48</v>
      </c>
      <c r="C274" s="76">
        <f>14812-111.53-398.38</f>
        <v>14302.09</v>
      </c>
      <c r="D274" s="78">
        <f t="shared" si="2"/>
        <v>0.9654094844413184</v>
      </c>
      <c r="E274" s="79">
        <f>(1.38*2+1.27*10)/12</f>
        <v>1.2883333333333333</v>
      </c>
      <c r="F274" s="80">
        <f t="shared" si="3"/>
        <v>0.322923848892015</v>
      </c>
    </row>
    <row r="275" spans="1:6" ht="15">
      <c r="A275" s="76" t="s">
        <v>240</v>
      </c>
      <c r="B275" s="81">
        <v>1718742</v>
      </c>
      <c r="C275" s="76">
        <f>18006.98-360.99</f>
        <v>17645.989999999998</v>
      </c>
      <c r="D275" s="78">
        <v>8.2</v>
      </c>
      <c r="E275" s="79">
        <f>(10.52*2+9.5*10)/12</f>
        <v>9.67</v>
      </c>
      <c r="F275" s="80">
        <f t="shared" si="3"/>
        <v>1.4700000000000006</v>
      </c>
    </row>
    <row r="276" spans="1:6" ht="15">
      <c r="A276" s="76" t="s">
        <v>241</v>
      </c>
      <c r="B276" s="77">
        <f>318661.2*1.01</f>
        <v>321847.81200000003</v>
      </c>
      <c r="C276" s="76">
        <f>C273</f>
        <v>18006.98</v>
      </c>
      <c r="D276" s="82">
        <v>1.49</v>
      </c>
      <c r="E276" s="79">
        <f>(1.67*2+1.75*10)/12</f>
        <v>1.7366666666666666</v>
      </c>
      <c r="F276" s="80">
        <f t="shared" si="3"/>
        <v>0.2466666666666666</v>
      </c>
    </row>
    <row r="277" spans="1:6" ht="14.25">
      <c r="A277" s="76" t="s">
        <v>174</v>
      </c>
      <c r="B277" s="81">
        <v>127461</v>
      </c>
      <c r="C277" s="76">
        <f>C276</f>
        <v>18006.98</v>
      </c>
      <c r="D277" s="78">
        <f t="shared" si="2"/>
        <v>0.5898684843321867</v>
      </c>
      <c r="E277" s="79">
        <v>1</v>
      </c>
      <c r="F277" s="80">
        <f t="shared" si="3"/>
        <v>0.41013151566781325</v>
      </c>
    </row>
    <row r="278" spans="1:6" ht="14.25">
      <c r="A278" s="76" t="s">
        <v>179</v>
      </c>
      <c r="B278" s="81">
        <f>767358.24*1.01</f>
        <v>775031.8224</v>
      </c>
      <c r="C278" s="76">
        <f>C277</f>
        <v>18006.98</v>
      </c>
      <c r="D278" s="78">
        <f>B278/C278/12</f>
        <v>3.5867194387954004</v>
      </c>
      <c r="E278" s="79">
        <f>6.48*6/12</f>
        <v>3.24</v>
      </c>
      <c r="F278" s="80">
        <f t="shared" si="3"/>
        <v>-0.34671943879540024</v>
      </c>
    </row>
    <row r="279" spans="1:6" ht="14.25">
      <c r="A279" s="76" t="s">
        <v>27</v>
      </c>
      <c r="B279" s="77"/>
      <c r="C279" s="76">
        <f>C278</f>
        <v>18006.98</v>
      </c>
      <c r="D279" s="78">
        <f t="shared" si="2"/>
        <v>0</v>
      </c>
      <c r="E279" s="79">
        <v>0.11</v>
      </c>
      <c r="F279" s="80">
        <f t="shared" si="3"/>
        <v>0.11</v>
      </c>
    </row>
    <row r="280" spans="1:6" ht="28.5">
      <c r="A280" s="83" t="s">
        <v>242</v>
      </c>
      <c r="B280" s="84">
        <f>63266*1.01</f>
        <v>63898.66</v>
      </c>
      <c r="C280" s="76">
        <f>C279</f>
        <v>18006.98</v>
      </c>
      <c r="D280" s="78">
        <f t="shared" si="2"/>
        <v>0.2957124589094525</v>
      </c>
      <c r="E280" s="79">
        <f>(1.14*2+0.6*10)/12</f>
        <v>0.69</v>
      </c>
      <c r="F280" s="80">
        <f t="shared" si="3"/>
        <v>0.3942875410905474</v>
      </c>
    </row>
    <row r="281" spans="1:6" ht="15" thickBot="1">
      <c r="A281" s="85" t="s">
        <v>243</v>
      </c>
      <c r="B281" s="84">
        <f>63600*1.01</f>
        <v>64236</v>
      </c>
      <c r="C281" s="86">
        <f>C280</f>
        <v>18006.98</v>
      </c>
      <c r="D281" s="87">
        <f t="shared" si="2"/>
        <v>0.29727361278793</v>
      </c>
      <c r="E281" s="88">
        <v>0</v>
      </c>
      <c r="F281" s="89">
        <f t="shared" si="3"/>
        <v>-0.29727361278793</v>
      </c>
    </row>
    <row r="282" spans="1:6" ht="15.75" thickBot="1">
      <c r="A282" s="10" t="s">
        <v>29</v>
      </c>
      <c r="B282" s="90"/>
      <c r="C282" s="91"/>
      <c r="D282" s="92">
        <f>SUM(D272:D281)</f>
        <v>18.972220263842374</v>
      </c>
      <c r="E282" s="93">
        <f>SUM(E272:E281)</f>
        <v>20.581666666666667</v>
      </c>
      <c r="F282" s="93">
        <f>E282-D282</f>
        <v>1.6094464028242932</v>
      </c>
    </row>
    <row r="283" spans="1:6" ht="14.25">
      <c r="A283" s="7"/>
      <c r="B283" s="7"/>
      <c r="C283" s="7"/>
      <c r="D283" s="94"/>
      <c r="E283" s="7"/>
      <c r="F283" s="94"/>
    </row>
    <row r="284" spans="1:6" ht="15" thickBot="1">
      <c r="A284" s="7"/>
      <c r="B284" s="7"/>
      <c r="C284" s="7"/>
      <c r="D284" s="94"/>
      <c r="E284" s="7"/>
      <c r="F284" s="94"/>
    </row>
    <row r="285" spans="1:5" ht="15.75" thickBot="1">
      <c r="A285" s="93">
        <v>19.32</v>
      </c>
      <c r="B285" s="7" t="s">
        <v>244</v>
      </c>
      <c r="C285" s="7"/>
      <c r="D285" s="94"/>
      <c r="E285" s="7"/>
    </row>
    <row r="286" spans="1:6" ht="15.75" thickBot="1">
      <c r="A286" s="93">
        <v>28.56</v>
      </c>
      <c r="B286" s="47" t="s">
        <v>245</v>
      </c>
      <c r="F286" s="95"/>
    </row>
    <row r="288" ht="14.25">
      <c r="A288" t="s">
        <v>246</v>
      </c>
    </row>
    <row r="289" ht="14.25">
      <c r="A289" t="s">
        <v>247</v>
      </c>
    </row>
    <row r="290" ht="14.25">
      <c r="A290" t="s">
        <v>248</v>
      </c>
    </row>
    <row r="291" ht="14.25">
      <c r="A291" t="s">
        <v>249</v>
      </c>
    </row>
    <row r="296" ht="14.25">
      <c r="A296" t="s">
        <v>250</v>
      </c>
    </row>
    <row r="297" spans="1:4" ht="14.25">
      <c r="A297" t="s">
        <v>251</v>
      </c>
      <c r="D297" t="s">
        <v>252</v>
      </c>
    </row>
  </sheetData>
  <sheetProtection/>
  <mergeCells count="11">
    <mergeCell ref="A1:D1"/>
    <mergeCell ref="A3:D3"/>
    <mergeCell ref="A5:D5"/>
    <mergeCell ref="A18:A20"/>
    <mergeCell ref="B18:B19"/>
    <mergeCell ref="C18:C19"/>
    <mergeCell ref="D18:D19"/>
    <mergeCell ref="E18:E19"/>
    <mergeCell ref="A52:D52"/>
    <mergeCell ref="A105:B105"/>
    <mergeCell ref="A205:B205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2011-11-03T05:58:08Z</dcterms:modified>
  <cp:category/>
  <cp:version/>
  <cp:contentType/>
  <cp:contentStatus/>
</cp:coreProperties>
</file>